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C:\Users\jaume.cazorla\Downloads\"/>
    </mc:Choice>
  </mc:AlternateContent>
  <xr:revisionPtr revIDLastSave="0" documentId="13_ncr:1_{90789337-3112-4FD1-A011-A2CB738DBCEC}" xr6:coauthVersionLast="47" xr6:coauthVersionMax="47" xr10:uidLastSave="{00000000-0000-0000-0000-000000000000}"/>
  <bookViews>
    <workbookView xWindow="-120" yWindow="-120" windowWidth="29040" windowHeight="15840" firstSheet="4" activeTab="9" xr2:uid="{11B0ADDD-28F6-4D59-A700-D29DAE66240B}"/>
  </bookViews>
  <sheets>
    <sheet name="Line Spacing" sheetId="6" r:id="rId1"/>
    <sheet name="GSD" sheetId="7" r:id="rId2"/>
    <sheet name="mdLiDAR_UHR" sheetId="10" r:id="rId3"/>
    <sheet name="mdLiDAR_UHR Lite" sheetId="12" r:id="rId4"/>
    <sheet name="mdLiDAR_3Cam-3Cam+" sheetId="9" r:id="rId5"/>
    <sheet name="TrueView 410" sheetId="1" r:id="rId6"/>
    <sheet name="TrueView 435" sheetId="11" r:id="rId7"/>
    <sheet name="TrueView 515" sheetId="8" r:id="rId8"/>
    <sheet name="TrueView 535" sheetId="13" r:id="rId9"/>
    <sheet name="TrueView 1" sheetId="20" r:id="rId10"/>
    <sheet name="TrueView 540" sheetId="16" r:id="rId11"/>
    <sheet name="TrueView 660" sheetId="3" r:id="rId12"/>
    <sheet name="TrueView 680" sheetId="18" r:id="rId13"/>
    <sheet name="TrueView 720" sheetId="17" r:id="rId14"/>
    <sheet name="Spot Size" sheetId="14" r:id="rId15"/>
    <sheet name="Vertical Surface" sheetId="4" r:id="rId16"/>
    <sheet name="Useful Conversions" sheetId="5" r:id="rId1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3" i="7" l="1"/>
  <c r="J93" i="20"/>
  <c r="J92" i="20"/>
  <c r="J75" i="20"/>
  <c r="J73" i="20"/>
  <c r="K61" i="20"/>
  <c r="J85" i="20" s="1"/>
  <c r="J61" i="20"/>
  <c r="K60" i="20"/>
  <c r="J84" i="20" s="1"/>
  <c r="J60" i="20"/>
  <c r="B36" i="20"/>
  <c r="B35" i="20"/>
  <c r="B38" i="20" s="1"/>
  <c r="B33" i="20"/>
  <c r="B14" i="20" s="1"/>
  <c r="B32" i="20"/>
  <c r="B13" i="20" s="1"/>
  <c r="F29" i="20"/>
  <c r="L28" i="20"/>
  <c r="B24" i="20"/>
  <c r="B25" i="20" s="1"/>
  <c r="B23" i="20"/>
  <c r="B41" i="20" s="1"/>
  <c r="B31" i="20" s="1"/>
  <c r="B12" i="20" s="1"/>
  <c r="B22" i="20"/>
  <c r="B42" i="20" s="1"/>
  <c r="B50" i="16"/>
  <c r="B51" i="16" s="1"/>
  <c r="B9" i="16"/>
  <c r="B10" i="16" s="1"/>
  <c r="F37" i="18"/>
  <c r="B37" i="18"/>
  <c r="B18" i="18" s="1"/>
  <c r="L36" i="18"/>
  <c r="B36" i="18"/>
  <c r="B17" i="18" s="1"/>
  <c r="AC32" i="18"/>
  <c r="B28" i="18"/>
  <c r="B29" i="18" s="1"/>
  <c r="B27" i="18"/>
  <c r="B31" i="18" s="1"/>
  <c r="B26" i="18"/>
  <c r="B30" i="18" s="1"/>
  <c r="B32" i="18" s="1"/>
  <c r="I23" i="18"/>
  <c r="I22" i="18"/>
  <c r="I24" i="18" s="1"/>
  <c r="B21" i="18"/>
  <c r="B20" i="18"/>
  <c r="B39" i="18" s="1"/>
  <c r="I18" i="18"/>
  <c r="I16" i="18"/>
  <c r="I17" i="18" s="1"/>
  <c r="I19" i="18" s="1"/>
  <c r="B10" i="18"/>
  <c r="F36" i="17"/>
  <c r="B36" i="17"/>
  <c r="B16" i="17" s="1"/>
  <c r="L35" i="17"/>
  <c r="B35" i="17"/>
  <c r="B15" i="17" s="1"/>
  <c r="AC31" i="17"/>
  <c r="B27" i="17"/>
  <c r="B26" i="17"/>
  <c r="B30" i="17" s="1"/>
  <c r="B25" i="17"/>
  <c r="B29" i="17" s="1"/>
  <c r="B31" i="17" s="1"/>
  <c r="I21" i="17"/>
  <c r="I20" i="17"/>
  <c r="I22" i="17" s="1"/>
  <c r="B19" i="17"/>
  <c r="B18" i="17"/>
  <c r="B38" i="17" s="1"/>
  <c r="I14" i="17"/>
  <c r="I15" i="17" s="1"/>
  <c r="I17" i="17" s="1"/>
  <c r="F36" i="16"/>
  <c r="B36" i="16"/>
  <c r="B16" i="16" s="1"/>
  <c r="L35" i="16"/>
  <c r="B35" i="16"/>
  <c r="B15" i="16" s="1"/>
  <c r="AC31" i="16"/>
  <c r="B27" i="16"/>
  <c r="B26" i="16"/>
  <c r="B25" i="16"/>
  <c r="I22" i="16"/>
  <c r="I21" i="16"/>
  <c r="I20" i="16"/>
  <c r="B19" i="16"/>
  <c r="B18" i="16"/>
  <c r="I14" i="16"/>
  <c r="I16" i="16" s="1"/>
  <c r="F3" i="14"/>
  <c r="E3" i="14"/>
  <c r="H3" i="14" s="1"/>
  <c r="F7" i="14"/>
  <c r="E7" i="14"/>
  <c r="H7" i="14" s="1"/>
  <c r="N3" i="14"/>
  <c r="N4" i="14" s="1"/>
  <c r="G10" i="14"/>
  <c r="I10" i="14" s="1"/>
  <c r="G9" i="14"/>
  <c r="I9" i="14" s="1"/>
  <c r="E8" i="14"/>
  <c r="F8" i="14"/>
  <c r="E6" i="14"/>
  <c r="F6" i="14"/>
  <c r="F5" i="14"/>
  <c r="E5" i="14"/>
  <c r="H5" i="14" s="1"/>
  <c r="E4" i="14"/>
  <c r="F4" i="14"/>
  <c r="J93" i="13"/>
  <c r="J92" i="13"/>
  <c r="J75" i="13"/>
  <c r="J73" i="13"/>
  <c r="J61" i="13"/>
  <c r="K61" i="13" s="1"/>
  <c r="J85" i="13" s="1"/>
  <c r="J60" i="13"/>
  <c r="K60" i="13" s="1"/>
  <c r="J84" i="13" s="1"/>
  <c r="B38" i="13"/>
  <c r="B35" i="13"/>
  <c r="B33" i="13"/>
  <c r="B14" i="13" s="1"/>
  <c r="B32" i="13"/>
  <c r="B13" i="13" s="1"/>
  <c r="F29" i="13"/>
  <c r="L28" i="13"/>
  <c r="B24" i="13"/>
  <c r="B25" i="13" s="1"/>
  <c r="B23" i="13"/>
  <c r="B27" i="13" s="1"/>
  <c r="B22" i="13"/>
  <c r="B42" i="13" s="1"/>
  <c r="L36" i="9"/>
  <c r="B43" i="20" l="1"/>
  <c r="B44" i="20" s="1"/>
  <c r="B7" i="20"/>
  <c r="B8" i="20" s="1"/>
  <c r="B39" i="20"/>
  <c r="B30" i="20" s="1"/>
  <c r="B11" i="20" s="1"/>
  <c r="B26" i="20"/>
  <c r="B28" i="20" s="1"/>
  <c r="B37" i="20" s="1"/>
  <c r="B40" i="20"/>
  <c r="B27" i="20"/>
  <c r="B42" i="18"/>
  <c r="B9" i="18"/>
  <c r="B33" i="18"/>
  <c r="B13" i="18" s="1"/>
  <c r="B14" i="18" s="1"/>
  <c r="W20" i="18"/>
  <c r="W21" i="18" s="1"/>
  <c r="W22" i="18" s="1"/>
  <c r="W23" i="18" s="1"/>
  <c r="F27" i="18"/>
  <c r="F28" i="18" s="1"/>
  <c r="F29" i="18" s="1"/>
  <c r="F30" i="18" s="1"/>
  <c r="B45" i="18"/>
  <c r="B35" i="18" s="1"/>
  <c r="B16" i="18" s="1"/>
  <c r="B43" i="18"/>
  <c r="B34" i="18" s="1"/>
  <c r="B15" i="18" s="1"/>
  <c r="B40" i="18"/>
  <c r="B41" i="18" s="1"/>
  <c r="B11" i="18"/>
  <c r="B12" i="18" s="1"/>
  <c r="J56" i="18" s="1"/>
  <c r="J57" i="18" s="1"/>
  <c r="J58" i="18" s="1"/>
  <c r="J59" i="18" s="1"/>
  <c r="B46" i="18"/>
  <c r="B47" i="18" s="1"/>
  <c r="B48" i="18" s="1"/>
  <c r="B44" i="18"/>
  <c r="B28" i="17"/>
  <c r="B32" i="17" s="1"/>
  <c r="B11" i="17" s="1"/>
  <c r="B12" i="17" s="1"/>
  <c r="W18" i="17"/>
  <c r="W19" i="17" s="1"/>
  <c r="W20" i="17" s="1"/>
  <c r="W21" i="17" s="1"/>
  <c r="F26" i="17"/>
  <c r="F27" i="17" s="1"/>
  <c r="F28" i="17" s="1"/>
  <c r="F29" i="17" s="1"/>
  <c r="B41" i="17"/>
  <c r="B42" i="17" s="1"/>
  <c r="B33" i="17" s="1"/>
  <c r="B13" i="17" s="1"/>
  <c r="I16" i="17"/>
  <c r="B44" i="17"/>
  <c r="B34" i="17" s="1"/>
  <c r="B14" i="17" s="1"/>
  <c r="B9" i="17"/>
  <c r="B10" i="17" s="1"/>
  <c r="J55" i="17" s="1"/>
  <c r="J56" i="17" s="1"/>
  <c r="J57" i="17" s="1"/>
  <c r="J58" i="17" s="1"/>
  <c r="B39" i="17"/>
  <c r="B40" i="17" s="1"/>
  <c r="B45" i="17"/>
  <c r="B43" i="17"/>
  <c r="B39" i="16"/>
  <c r="B28" i="16"/>
  <c r="B44" i="16"/>
  <c r="B34" i="16" s="1"/>
  <c r="B14" i="16" s="1"/>
  <c r="B45" i="16"/>
  <c r="B29" i="16"/>
  <c r="B38" i="16"/>
  <c r="B41" i="16" s="1"/>
  <c r="I15" i="16"/>
  <c r="I17" i="16" s="1"/>
  <c r="B43" i="16"/>
  <c r="B30" i="16"/>
  <c r="J55" i="16"/>
  <c r="J56" i="16" s="1"/>
  <c r="J57" i="16" s="1"/>
  <c r="J58" i="16" s="1"/>
  <c r="J7" i="14"/>
  <c r="J3" i="14"/>
  <c r="J10" i="14"/>
  <c r="J9" i="14"/>
  <c r="J8" i="14"/>
  <c r="J5" i="14"/>
  <c r="H6" i="14"/>
  <c r="J6" i="14" s="1"/>
  <c r="H4" i="14"/>
  <c r="J4" i="14" s="1"/>
  <c r="H8" i="14"/>
  <c r="B40" i="13"/>
  <c r="B43" i="13" s="1"/>
  <c r="B44" i="13" s="1"/>
  <c r="B26" i="13"/>
  <c r="B28" i="13" s="1"/>
  <c r="B41" i="13"/>
  <c r="B31" i="13" s="1"/>
  <c r="B12" i="13" s="1"/>
  <c r="B39" i="13"/>
  <c r="B30" i="13" s="1"/>
  <c r="B11" i="13" s="1"/>
  <c r="B36" i="13"/>
  <c r="B7" i="13"/>
  <c r="B8" i="13" s="1"/>
  <c r="J93" i="12"/>
  <c r="J92" i="12"/>
  <c r="J75" i="12"/>
  <c r="J73" i="12"/>
  <c r="J61" i="12"/>
  <c r="K61" i="12" s="1"/>
  <c r="J85" i="12" s="1"/>
  <c r="J60" i="12"/>
  <c r="K60" i="12" s="1"/>
  <c r="J84" i="12" s="1"/>
  <c r="B41" i="12"/>
  <c r="B31" i="12" s="1"/>
  <c r="B12" i="12" s="1"/>
  <c r="B40" i="12"/>
  <c r="B35" i="12"/>
  <c r="B38" i="12" s="1"/>
  <c r="B39" i="12" s="1"/>
  <c r="B30" i="12" s="1"/>
  <c r="B11" i="12" s="1"/>
  <c r="B33" i="12"/>
  <c r="B32" i="12"/>
  <c r="F29" i="12"/>
  <c r="L28" i="12"/>
  <c r="B24" i="12"/>
  <c r="B36" i="12" s="1"/>
  <c r="B23" i="12"/>
  <c r="B27" i="12" s="1"/>
  <c r="B22" i="12"/>
  <c r="B26" i="12" s="1"/>
  <c r="B28" i="12" s="1"/>
  <c r="F19" i="12" s="1"/>
  <c r="F20" i="12" s="1"/>
  <c r="F21" i="12" s="1"/>
  <c r="F22" i="12" s="1"/>
  <c r="B14" i="12"/>
  <c r="B13" i="12"/>
  <c r="J93" i="11"/>
  <c r="J92" i="11"/>
  <c r="J75" i="11"/>
  <c r="J73" i="11"/>
  <c r="K61" i="11"/>
  <c r="J85" i="11" s="1"/>
  <c r="J61" i="11"/>
  <c r="J60" i="11"/>
  <c r="K60" i="11" s="1"/>
  <c r="J84" i="11" s="1"/>
  <c r="B41" i="11"/>
  <c r="B31" i="11" s="1"/>
  <c r="B12" i="11" s="1"/>
  <c r="B40" i="11"/>
  <c r="B35" i="11"/>
  <c r="B38" i="11" s="1"/>
  <c r="B33" i="11"/>
  <c r="B14" i="11" s="1"/>
  <c r="B32" i="11"/>
  <c r="B13" i="11" s="1"/>
  <c r="F29" i="11"/>
  <c r="L28" i="11"/>
  <c r="B24" i="11"/>
  <c r="B23" i="11"/>
  <c r="B27" i="11" s="1"/>
  <c r="B22" i="11"/>
  <c r="B26" i="11" s="1"/>
  <c r="J93" i="10"/>
  <c r="J92" i="10"/>
  <c r="J75" i="10"/>
  <c r="J73" i="10"/>
  <c r="J61" i="10"/>
  <c r="K61" i="10" s="1"/>
  <c r="J85" i="10" s="1"/>
  <c r="J60" i="10"/>
  <c r="K60" i="10" s="1"/>
  <c r="J84" i="10" s="1"/>
  <c r="B35" i="10"/>
  <c r="B38" i="10" s="1"/>
  <c r="B33" i="10"/>
  <c r="B14" i="10" s="1"/>
  <c r="B32" i="10"/>
  <c r="B13" i="10" s="1"/>
  <c r="F29" i="10"/>
  <c r="L28" i="10"/>
  <c r="B24" i="10"/>
  <c r="B23" i="10"/>
  <c r="B27" i="10" s="1"/>
  <c r="B22" i="10"/>
  <c r="B26" i="10" s="1"/>
  <c r="F37" i="9"/>
  <c r="B37" i="9"/>
  <c r="B18" i="9" s="1"/>
  <c r="B36" i="9"/>
  <c r="B17" i="9" s="1"/>
  <c r="AC32" i="9"/>
  <c r="B28" i="9"/>
  <c r="B29" i="9" s="1"/>
  <c r="B27" i="9"/>
  <c r="B44" i="9" s="1"/>
  <c r="B26" i="9"/>
  <c r="I23" i="9"/>
  <c r="I22" i="9"/>
  <c r="I24" i="9" s="1"/>
  <c r="B21" i="9"/>
  <c r="B20" i="9"/>
  <c r="B39" i="9" s="1"/>
  <c r="I16" i="9"/>
  <c r="I18" i="9" s="1"/>
  <c r="B10" i="9"/>
  <c r="B9" i="9"/>
  <c r="J61" i="8"/>
  <c r="J60" i="8"/>
  <c r="J93" i="8"/>
  <c r="J92" i="8"/>
  <c r="J75" i="8"/>
  <c r="J73" i="8"/>
  <c r="F29" i="1"/>
  <c r="B20" i="3"/>
  <c r="F37" i="3"/>
  <c r="F29" i="8"/>
  <c r="L36" i="3"/>
  <c r="L28" i="8"/>
  <c r="B35" i="8"/>
  <c r="B38" i="8" s="1"/>
  <c r="B33" i="8"/>
  <c r="B14" i="8" s="1"/>
  <c r="B32" i="8"/>
  <c r="B13" i="8" s="1"/>
  <c r="B24" i="8"/>
  <c r="B25" i="8" s="1"/>
  <c r="B23" i="8"/>
  <c r="B41" i="8" s="1"/>
  <c r="B31" i="8" s="1"/>
  <c r="B12" i="8" s="1"/>
  <c r="B22" i="8"/>
  <c r="L28" i="1"/>
  <c r="B29" i="20" l="1"/>
  <c r="B9" i="20" s="1"/>
  <c r="B10" i="20" s="1"/>
  <c r="F19" i="20"/>
  <c r="F20" i="20" s="1"/>
  <c r="F21" i="20" s="1"/>
  <c r="F22" i="20" s="1"/>
  <c r="J57" i="20"/>
  <c r="J48" i="20"/>
  <c r="J49" i="20" s="1"/>
  <c r="J50" i="20" s="1"/>
  <c r="J51" i="20" s="1"/>
  <c r="J60" i="18"/>
  <c r="L38" i="18"/>
  <c r="I46" i="18"/>
  <c r="I40" i="18"/>
  <c r="I43" i="18"/>
  <c r="I42" i="18"/>
  <c r="I45" i="18"/>
  <c r="I41" i="18"/>
  <c r="I37" i="18"/>
  <c r="F31" i="18"/>
  <c r="F33" i="18"/>
  <c r="I44" i="18"/>
  <c r="I39" i="18"/>
  <c r="I47" i="18"/>
  <c r="I38" i="18"/>
  <c r="F32" i="18"/>
  <c r="W24" i="18"/>
  <c r="Z41" i="18"/>
  <c r="Z37" i="18"/>
  <c r="Z33" i="18"/>
  <c r="Z34" i="18"/>
  <c r="W25" i="18"/>
  <c r="Z38" i="18"/>
  <c r="Z40" i="18"/>
  <c r="Z36" i="18"/>
  <c r="Z35" i="18"/>
  <c r="W26" i="18"/>
  <c r="Z39" i="18"/>
  <c r="W22" i="17"/>
  <c r="Z40" i="17"/>
  <c r="Z36" i="17"/>
  <c r="Z32" i="17"/>
  <c r="Z37" i="17"/>
  <c r="Z34" i="17"/>
  <c r="W25" i="17"/>
  <c r="Z38" i="17"/>
  <c r="Z39" i="17"/>
  <c r="Z33" i="17"/>
  <c r="Z35" i="17"/>
  <c r="W24" i="17"/>
  <c r="B46" i="17"/>
  <c r="B47" i="17" s="1"/>
  <c r="J59" i="17"/>
  <c r="L37" i="17"/>
  <c r="I37" i="17" s="1"/>
  <c r="F32" i="17"/>
  <c r="F31" i="17"/>
  <c r="F30" i="17"/>
  <c r="B42" i="16"/>
  <c r="B33" i="16" s="1"/>
  <c r="B13" i="16" s="1"/>
  <c r="L37" i="16"/>
  <c r="J59" i="16"/>
  <c r="B31" i="16"/>
  <c r="B40" i="16" s="1"/>
  <c r="B46" i="16"/>
  <c r="B47" i="16" s="1"/>
  <c r="F19" i="13"/>
  <c r="F20" i="13" s="1"/>
  <c r="F21" i="13" s="1"/>
  <c r="F22" i="13" s="1"/>
  <c r="B29" i="13"/>
  <c r="B9" i="13" s="1"/>
  <c r="B10" i="13" s="1"/>
  <c r="B37" i="13"/>
  <c r="J48" i="13"/>
  <c r="J49" i="13" s="1"/>
  <c r="J50" i="13" s="1"/>
  <c r="J51" i="13" s="1"/>
  <c r="J57" i="13"/>
  <c r="B40" i="10"/>
  <c r="B41" i="10"/>
  <c r="B31" i="10" s="1"/>
  <c r="B12" i="10" s="1"/>
  <c r="B39" i="10"/>
  <c r="B30" i="10" s="1"/>
  <c r="B11" i="10" s="1"/>
  <c r="B7" i="10"/>
  <c r="B8" i="10" s="1"/>
  <c r="J48" i="10" s="1"/>
  <c r="J49" i="10" s="1"/>
  <c r="J50" i="10" s="1"/>
  <c r="J51" i="10" s="1"/>
  <c r="B11" i="9"/>
  <c r="B12" i="9" s="1"/>
  <c r="B7" i="11"/>
  <c r="B8" i="11" s="1"/>
  <c r="J48" i="11" s="1"/>
  <c r="J49" i="11" s="1"/>
  <c r="J50" i="11" s="1"/>
  <c r="J51" i="11" s="1"/>
  <c r="B37" i="12"/>
  <c r="F25" i="12"/>
  <c r="F23" i="12"/>
  <c r="F24" i="12"/>
  <c r="B7" i="12"/>
  <c r="B8" i="12" s="1"/>
  <c r="B25" i="12"/>
  <c r="B29" i="12" s="1"/>
  <c r="B9" i="12" s="1"/>
  <c r="B10" i="12" s="1"/>
  <c r="B42" i="12"/>
  <c r="B43" i="12" s="1"/>
  <c r="B44" i="12" s="1"/>
  <c r="B28" i="11"/>
  <c r="F19" i="11" s="1"/>
  <c r="F20" i="11" s="1"/>
  <c r="F21" i="11" s="1"/>
  <c r="F22" i="11" s="1"/>
  <c r="B25" i="11"/>
  <c r="B42" i="11"/>
  <c r="B43" i="11" s="1"/>
  <c r="B44" i="11" s="1"/>
  <c r="B39" i="11"/>
  <c r="B30" i="11" s="1"/>
  <c r="B11" i="11" s="1"/>
  <c r="B36" i="11"/>
  <c r="B28" i="10"/>
  <c r="F19" i="10" s="1"/>
  <c r="F20" i="10" s="1"/>
  <c r="F21" i="10" s="1"/>
  <c r="F22" i="10" s="1"/>
  <c r="B25" i="10"/>
  <c r="B42" i="10"/>
  <c r="B36" i="10"/>
  <c r="B42" i="9"/>
  <c r="B46" i="9"/>
  <c r="B47" i="9" s="1"/>
  <c r="B48" i="9" s="1"/>
  <c r="B43" i="9"/>
  <c r="B34" i="9" s="1"/>
  <c r="B15" i="9" s="1"/>
  <c r="B40" i="9"/>
  <c r="B30" i="9"/>
  <c r="I17" i="9"/>
  <c r="I19" i="9" s="1"/>
  <c r="B31" i="9"/>
  <c r="B45" i="9"/>
  <c r="B35" i="9" s="1"/>
  <c r="B16" i="9" s="1"/>
  <c r="K61" i="8"/>
  <c r="J85" i="8" s="1"/>
  <c r="K60" i="8"/>
  <c r="J84" i="8" s="1"/>
  <c r="B27" i="8"/>
  <c r="B26" i="8"/>
  <c r="B42" i="8"/>
  <c r="B36" i="8"/>
  <c r="B7" i="8"/>
  <c r="B8" i="8" s="1"/>
  <c r="J57" i="8" s="1"/>
  <c r="B39" i="8"/>
  <c r="B30" i="8" s="1"/>
  <c r="B11" i="8" s="1"/>
  <c r="B40" i="8"/>
  <c r="N20" i="6"/>
  <c r="O20" i="6"/>
  <c r="P20" i="6"/>
  <c r="Q20" i="6"/>
  <c r="R20" i="6"/>
  <c r="S20" i="6"/>
  <c r="T20" i="6"/>
  <c r="U20" i="6"/>
  <c r="V20" i="6"/>
  <c r="N21" i="6"/>
  <c r="O21" i="6"/>
  <c r="P21" i="6"/>
  <c r="Q21" i="6"/>
  <c r="R21" i="6"/>
  <c r="T21" i="6"/>
  <c r="U21" i="6"/>
  <c r="V21" i="6"/>
  <c r="N22" i="6"/>
  <c r="O22" i="6"/>
  <c r="P22" i="6"/>
  <c r="Q22" i="6"/>
  <c r="R22" i="6"/>
  <c r="S22" i="6"/>
  <c r="T22" i="6"/>
  <c r="U22" i="6"/>
  <c r="V22" i="6"/>
  <c r="N23" i="6"/>
  <c r="O23" i="6"/>
  <c r="P23" i="6"/>
  <c r="Q23" i="6"/>
  <c r="R23" i="6"/>
  <c r="T23" i="6"/>
  <c r="U23" i="6"/>
  <c r="V23" i="6"/>
  <c r="N24" i="6"/>
  <c r="O24" i="6"/>
  <c r="P24" i="6"/>
  <c r="Q24" i="6"/>
  <c r="R24" i="6"/>
  <c r="T24" i="6"/>
  <c r="U24" i="6"/>
  <c r="V24" i="6"/>
  <c r="N25" i="6"/>
  <c r="O25" i="6"/>
  <c r="P25" i="6"/>
  <c r="Q25" i="6"/>
  <c r="R25" i="6"/>
  <c r="T25" i="6"/>
  <c r="U25" i="6"/>
  <c r="V25" i="6"/>
  <c r="N26" i="6"/>
  <c r="O26" i="6"/>
  <c r="P26" i="6"/>
  <c r="Q26" i="6"/>
  <c r="R26" i="6"/>
  <c r="T26" i="6"/>
  <c r="U26" i="6"/>
  <c r="V26" i="6"/>
  <c r="N27" i="6"/>
  <c r="O27" i="6"/>
  <c r="P27" i="6"/>
  <c r="Q27" i="6"/>
  <c r="R27" i="6"/>
  <c r="S27" i="6"/>
  <c r="T27" i="6"/>
  <c r="U27" i="6"/>
  <c r="V27" i="6"/>
  <c r="N28" i="6"/>
  <c r="O28" i="6"/>
  <c r="P28" i="6"/>
  <c r="Q28" i="6"/>
  <c r="R28" i="6"/>
  <c r="S28" i="6"/>
  <c r="T28" i="6"/>
  <c r="U28" i="6"/>
  <c r="V28" i="6"/>
  <c r="N29" i="6"/>
  <c r="O29" i="6"/>
  <c r="P29" i="6"/>
  <c r="Q29" i="6"/>
  <c r="R29" i="6"/>
  <c r="T29" i="6"/>
  <c r="U29" i="6"/>
  <c r="V29" i="6"/>
  <c r="N30" i="6"/>
  <c r="O30" i="6"/>
  <c r="P30" i="6"/>
  <c r="Q30" i="6"/>
  <c r="R30" i="6"/>
  <c r="S30" i="6"/>
  <c r="T30" i="6"/>
  <c r="U30" i="6"/>
  <c r="V30" i="6"/>
  <c r="V19" i="6"/>
  <c r="O19" i="6"/>
  <c r="P19" i="6"/>
  <c r="Q19" i="6"/>
  <c r="R19" i="6"/>
  <c r="T19" i="6"/>
  <c r="U19" i="6"/>
  <c r="N19" i="6"/>
  <c r="N4" i="6"/>
  <c r="O4" i="6"/>
  <c r="P4" i="6"/>
  <c r="Q4" i="6"/>
  <c r="R4" i="6"/>
  <c r="S4" i="6"/>
  <c r="T4" i="6"/>
  <c r="U4" i="6"/>
  <c r="V4" i="6"/>
  <c r="N5" i="6"/>
  <c r="O5" i="6"/>
  <c r="P5" i="6"/>
  <c r="Q5" i="6"/>
  <c r="R5" i="6"/>
  <c r="S5" i="6"/>
  <c r="S21" i="6" s="1"/>
  <c r="T5" i="6"/>
  <c r="U5" i="6"/>
  <c r="V5" i="6"/>
  <c r="N6" i="6"/>
  <c r="O6" i="6"/>
  <c r="P6" i="6"/>
  <c r="Q6" i="6"/>
  <c r="R6" i="6"/>
  <c r="S6" i="6"/>
  <c r="T6" i="6"/>
  <c r="U6" i="6"/>
  <c r="V6" i="6"/>
  <c r="N7" i="6"/>
  <c r="O7" i="6"/>
  <c r="P7" i="6"/>
  <c r="Q7" i="6"/>
  <c r="R7" i="6"/>
  <c r="S7" i="6"/>
  <c r="S23" i="6" s="1"/>
  <c r="T7" i="6"/>
  <c r="U7" i="6"/>
  <c r="V7" i="6"/>
  <c r="N8" i="6"/>
  <c r="O8" i="6"/>
  <c r="P8" i="6"/>
  <c r="Q8" i="6"/>
  <c r="R8" i="6"/>
  <c r="S8" i="6"/>
  <c r="S24" i="6" s="1"/>
  <c r="T8" i="6"/>
  <c r="U8" i="6"/>
  <c r="V8" i="6"/>
  <c r="N9" i="6"/>
  <c r="O9" i="6"/>
  <c r="P9" i="6"/>
  <c r="Q9" i="6"/>
  <c r="R9" i="6"/>
  <c r="S9" i="6"/>
  <c r="S25" i="6" s="1"/>
  <c r="T9" i="6"/>
  <c r="U9" i="6"/>
  <c r="V9" i="6"/>
  <c r="N10" i="6"/>
  <c r="O10" i="6"/>
  <c r="P10" i="6"/>
  <c r="Q10" i="6"/>
  <c r="R10" i="6"/>
  <c r="S10" i="6"/>
  <c r="S26" i="6" s="1"/>
  <c r="T10" i="6"/>
  <c r="U10" i="6"/>
  <c r="V10" i="6"/>
  <c r="N11" i="6"/>
  <c r="O11" i="6"/>
  <c r="P11" i="6"/>
  <c r="Q11" i="6"/>
  <c r="R11" i="6"/>
  <c r="S11" i="6"/>
  <c r="T11" i="6"/>
  <c r="U11" i="6"/>
  <c r="V11" i="6"/>
  <c r="N12" i="6"/>
  <c r="O12" i="6"/>
  <c r="P12" i="6"/>
  <c r="Q12" i="6"/>
  <c r="R12" i="6"/>
  <c r="S12" i="6"/>
  <c r="T12" i="6"/>
  <c r="U12" i="6"/>
  <c r="V12" i="6"/>
  <c r="N13" i="6"/>
  <c r="O13" i="6"/>
  <c r="P13" i="6"/>
  <c r="Q13" i="6"/>
  <c r="R13" i="6"/>
  <c r="S13" i="6"/>
  <c r="S29" i="6" s="1"/>
  <c r="T13" i="6"/>
  <c r="U13" i="6"/>
  <c r="V13" i="6"/>
  <c r="N14" i="6"/>
  <c r="O14" i="6"/>
  <c r="P14" i="6"/>
  <c r="Q14" i="6"/>
  <c r="R14" i="6"/>
  <c r="S14" i="6"/>
  <c r="T14" i="6"/>
  <c r="U14" i="6"/>
  <c r="V14" i="6"/>
  <c r="N3" i="6"/>
  <c r="O3" i="6"/>
  <c r="P3" i="6"/>
  <c r="Q3" i="6"/>
  <c r="R3" i="6"/>
  <c r="S3" i="6"/>
  <c r="S19" i="6" s="1"/>
  <c r="T3" i="6"/>
  <c r="U3" i="6"/>
  <c r="V3" i="6"/>
  <c r="L30" i="20" l="1"/>
  <c r="I31" i="20" s="1"/>
  <c r="J52" i="20"/>
  <c r="J59" i="20"/>
  <c r="J65" i="20"/>
  <c r="J58" i="20"/>
  <c r="I35" i="20"/>
  <c r="F24" i="20"/>
  <c r="F25" i="20"/>
  <c r="I29" i="20"/>
  <c r="I36" i="20"/>
  <c r="F23" i="20"/>
  <c r="X40" i="18"/>
  <c r="X34" i="18"/>
  <c r="X36" i="18"/>
  <c r="X41" i="18"/>
  <c r="X37" i="18"/>
  <c r="X33" i="18"/>
  <c r="X38" i="18"/>
  <c r="X35" i="18"/>
  <c r="X39" i="18"/>
  <c r="J40" i="18"/>
  <c r="J43" i="18"/>
  <c r="J45" i="18"/>
  <c r="J41" i="18"/>
  <c r="J37" i="18"/>
  <c r="J39" i="18"/>
  <c r="J47" i="18"/>
  <c r="J38" i="18"/>
  <c r="J42" i="18"/>
  <c r="J44" i="18"/>
  <c r="J46" i="18"/>
  <c r="H39" i="18"/>
  <c r="H46" i="18"/>
  <c r="H44" i="18"/>
  <c r="H40" i="18"/>
  <c r="H38" i="18"/>
  <c r="H43" i="18"/>
  <c r="H47" i="18"/>
  <c r="H45" i="18"/>
  <c r="H41" i="18"/>
  <c r="H37" i="18"/>
  <c r="H42" i="18"/>
  <c r="AA41" i="18"/>
  <c r="AA37" i="18"/>
  <c r="AA36" i="18"/>
  <c r="AA33" i="18"/>
  <c r="AA38" i="18"/>
  <c r="AA35" i="18"/>
  <c r="AA39" i="18"/>
  <c r="AA40" i="18"/>
  <c r="AA34" i="18"/>
  <c r="G44" i="18"/>
  <c r="G39" i="18"/>
  <c r="G46" i="18"/>
  <c r="G38" i="18"/>
  <c r="G40" i="18"/>
  <c r="G43" i="18"/>
  <c r="G45" i="18"/>
  <c r="G41" i="18"/>
  <c r="G37" i="18"/>
  <c r="G42" i="18"/>
  <c r="G47" i="18"/>
  <c r="Y36" i="18"/>
  <c r="Y41" i="18"/>
  <c r="Y37" i="18"/>
  <c r="Y33" i="18"/>
  <c r="Y39" i="18"/>
  <c r="Y38" i="18"/>
  <c r="Y35" i="18"/>
  <c r="Y40" i="18"/>
  <c r="Y34" i="18"/>
  <c r="I45" i="17"/>
  <c r="I46" i="17"/>
  <c r="I43" i="17"/>
  <c r="I36" i="17"/>
  <c r="I40" i="17"/>
  <c r="I38" i="17"/>
  <c r="I44" i="17"/>
  <c r="I42" i="17"/>
  <c r="I39" i="17"/>
  <c r="I41" i="17"/>
  <c r="H38" i="17"/>
  <c r="H45" i="17"/>
  <c r="H39" i="17"/>
  <c r="H42" i="17"/>
  <c r="H44" i="17"/>
  <c r="H40" i="17"/>
  <c r="H36" i="17"/>
  <c r="H46" i="17"/>
  <c r="H41" i="17"/>
  <c r="H37" i="17"/>
  <c r="H43" i="17"/>
  <c r="AA40" i="17"/>
  <c r="AA36" i="17"/>
  <c r="AA32" i="17"/>
  <c r="AA37" i="17"/>
  <c r="AA34" i="17"/>
  <c r="AA33" i="17"/>
  <c r="AA38" i="17"/>
  <c r="AA39" i="17"/>
  <c r="AA35" i="17"/>
  <c r="G43" i="17"/>
  <c r="G38" i="17"/>
  <c r="G45" i="17"/>
  <c r="G39" i="17"/>
  <c r="G42" i="17"/>
  <c r="G44" i="17"/>
  <c r="G40" i="17"/>
  <c r="G36" i="17"/>
  <c r="G46" i="17"/>
  <c r="G41" i="17"/>
  <c r="G37" i="17"/>
  <c r="X39" i="17"/>
  <c r="X33" i="17"/>
  <c r="X35" i="17"/>
  <c r="X40" i="17"/>
  <c r="X36" i="17"/>
  <c r="X32" i="17"/>
  <c r="X37" i="17"/>
  <c r="X34" i="17"/>
  <c r="X38" i="17"/>
  <c r="Y35" i="17"/>
  <c r="Y40" i="17"/>
  <c r="Y36" i="17"/>
  <c r="Y32" i="17"/>
  <c r="Y37" i="17"/>
  <c r="Y34" i="17"/>
  <c r="Y38" i="17"/>
  <c r="Y39" i="17"/>
  <c r="Y33" i="17"/>
  <c r="J42" i="17"/>
  <c r="J39" i="17"/>
  <c r="J44" i="17"/>
  <c r="J40" i="17"/>
  <c r="J36" i="17"/>
  <c r="J46" i="17"/>
  <c r="J41" i="17"/>
  <c r="J37" i="17"/>
  <c r="J43" i="17"/>
  <c r="J38" i="17"/>
  <c r="J45" i="17"/>
  <c r="F26" i="16"/>
  <c r="F27" i="16" s="1"/>
  <c r="F28" i="16" s="1"/>
  <c r="F29" i="16" s="1"/>
  <c r="W18" i="16"/>
  <c r="W19" i="16" s="1"/>
  <c r="W20" i="16" s="1"/>
  <c r="W21" i="16" s="1"/>
  <c r="B32" i="16"/>
  <c r="B11" i="16" s="1"/>
  <c r="B12" i="16" s="1"/>
  <c r="F23" i="13"/>
  <c r="F24" i="13"/>
  <c r="F25" i="13"/>
  <c r="J52" i="13"/>
  <c r="L30" i="13"/>
  <c r="J65" i="13"/>
  <c r="J59" i="13"/>
  <c r="J58" i="13"/>
  <c r="B43" i="10"/>
  <c r="B44" i="10" s="1"/>
  <c r="J57" i="10"/>
  <c r="J65" i="10" s="1"/>
  <c r="B37" i="10"/>
  <c r="B29" i="10"/>
  <c r="B9" i="10" s="1"/>
  <c r="B10" i="10" s="1"/>
  <c r="J56" i="9"/>
  <c r="J57" i="9" s="1"/>
  <c r="J58" i="9" s="1"/>
  <c r="J59" i="9" s="1"/>
  <c r="L38" i="9" s="1"/>
  <c r="B32" i="9"/>
  <c r="W20" i="9" s="1"/>
  <c r="W21" i="9" s="1"/>
  <c r="W22" i="9" s="1"/>
  <c r="W23" i="9" s="1"/>
  <c r="J57" i="11"/>
  <c r="J58" i="11" s="1"/>
  <c r="B29" i="11"/>
  <c r="B9" i="11" s="1"/>
  <c r="B10" i="11" s="1"/>
  <c r="J48" i="12"/>
  <c r="J49" i="12" s="1"/>
  <c r="J50" i="12" s="1"/>
  <c r="J51" i="12" s="1"/>
  <c r="J57" i="12"/>
  <c r="F23" i="11"/>
  <c r="F25" i="11"/>
  <c r="F24" i="11"/>
  <c r="B37" i="11"/>
  <c r="J65" i="11"/>
  <c r="J59" i="11"/>
  <c r="L30" i="11"/>
  <c r="I36" i="11" s="1"/>
  <c r="J52" i="11"/>
  <c r="F23" i="10"/>
  <c r="F24" i="10"/>
  <c r="F25" i="10"/>
  <c r="L30" i="10"/>
  <c r="I36" i="10" s="1"/>
  <c r="J52" i="10"/>
  <c r="J58" i="8"/>
  <c r="J88" i="8" s="1"/>
  <c r="J65" i="8"/>
  <c r="J59" i="8"/>
  <c r="J89" i="8" s="1"/>
  <c r="B28" i="8"/>
  <c r="F19" i="8" s="1"/>
  <c r="F20" i="8" s="1"/>
  <c r="F21" i="8" s="1"/>
  <c r="F22" i="8" s="1"/>
  <c r="J48" i="8"/>
  <c r="J49" i="8" s="1"/>
  <c r="J50" i="8" s="1"/>
  <c r="J51" i="8" s="1"/>
  <c r="L30" i="8" s="1"/>
  <c r="B43" i="8"/>
  <c r="B44" i="8" s="1"/>
  <c r="F4" i="7"/>
  <c r="F5" i="7"/>
  <c r="F6" i="7"/>
  <c r="F7" i="7"/>
  <c r="F8" i="7"/>
  <c r="F9" i="7"/>
  <c r="F10" i="7"/>
  <c r="F11" i="7"/>
  <c r="F12" i="7"/>
  <c r="F13" i="7"/>
  <c r="F14" i="7"/>
  <c r="F15" i="7"/>
  <c r="F16" i="7"/>
  <c r="F17" i="7"/>
  <c r="F18" i="7"/>
  <c r="F3" i="7"/>
  <c r="H39" i="20" l="1"/>
  <c r="H33" i="20"/>
  <c r="H35" i="20"/>
  <c r="H30" i="20"/>
  <c r="H37" i="20"/>
  <c r="H32" i="20"/>
  <c r="H34" i="20"/>
  <c r="H29" i="20"/>
  <c r="H36" i="20"/>
  <c r="H31" i="20"/>
  <c r="H38" i="20"/>
  <c r="I39" i="20"/>
  <c r="I37" i="20"/>
  <c r="I30" i="20"/>
  <c r="G38" i="20"/>
  <c r="G33" i="20"/>
  <c r="G35" i="20"/>
  <c r="G30" i="20"/>
  <c r="G37" i="20"/>
  <c r="G32" i="20"/>
  <c r="G39" i="20"/>
  <c r="G34" i="20"/>
  <c r="G29" i="20"/>
  <c r="G36" i="20"/>
  <c r="G31" i="20"/>
  <c r="I34" i="20"/>
  <c r="J35" i="20"/>
  <c r="J30" i="20"/>
  <c r="J34" i="20"/>
  <c r="J29" i="20"/>
  <c r="J37" i="20"/>
  <c r="J32" i="20"/>
  <c r="J39" i="20"/>
  <c r="J36" i="20"/>
  <c r="J31" i="20"/>
  <c r="J38" i="20"/>
  <c r="J33" i="20"/>
  <c r="J74" i="20"/>
  <c r="J77" i="20" s="1"/>
  <c r="K77" i="20" s="1"/>
  <c r="L77" i="20" s="1"/>
  <c r="J66" i="20"/>
  <c r="J68" i="20" s="1"/>
  <c r="K68" i="20" s="1"/>
  <c r="L68" i="20" s="1"/>
  <c r="J62" i="20"/>
  <c r="J88" i="20"/>
  <c r="J67" i="20"/>
  <c r="J69" i="20" s="1"/>
  <c r="K69" i="20" s="1"/>
  <c r="L69" i="20" s="1"/>
  <c r="J63" i="20"/>
  <c r="J89" i="20"/>
  <c r="J76" i="20"/>
  <c r="J78" i="20" s="1"/>
  <c r="K78" i="20" s="1"/>
  <c r="L78" i="20" s="1"/>
  <c r="I32" i="20"/>
  <c r="I33" i="20"/>
  <c r="I38" i="20"/>
  <c r="Z37" i="16"/>
  <c r="Z34" i="16"/>
  <c r="Z38" i="16"/>
  <c r="W25" i="16"/>
  <c r="Z39" i="16"/>
  <c r="Z33" i="16"/>
  <c r="Z35" i="16"/>
  <c r="W24" i="16"/>
  <c r="W22" i="16"/>
  <c r="Z40" i="16"/>
  <c r="Z36" i="16"/>
  <c r="Z32" i="16"/>
  <c r="I44" i="16"/>
  <c r="I40" i="16"/>
  <c r="I36" i="16"/>
  <c r="F32" i="16"/>
  <c r="I46" i="16"/>
  <c r="I41" i="16"/>
  <c r="I37" i="16"/>
  <c r="F31" i="16"/>
  <c r="I43" i="16"/>
  <c r="I38" i="16"/>
  <c r="F30" i="16"/>
  <c r="I45" i="16"/>
  <c r="I39" i="16"/>
  <c r="I42" i="16"/>
  <c r="G36" i="13"/>
  <c r="J67" i="13"/>
  <c r="J69" i="13" s="1"/>
  <c r="K69" i="13" s="1"/>
  <c r="L69" i="13" s="1"/>
  <c r="J89" i="13"/>
  <c r="J63" i="13"/>
  <c r="J76" i="13"/>
  <c r="J78" i="13" s="1"/>
  <c r="K78" i="13" s="1"/>
  <c r="L78" i="13" s="1"/>
  <c r="I36" i="13"/>
  <c r="I31" i="13"/>
  <c r="I37" i="13"/>
  <c r="I29" i="13"/>
  <c r="I30" i="13"/>
  <c r="I32" i="13"/>
  <c r="I33" i="13"/>
  <c r="I35" i="13"/>
  <c r="I39" i="13"/>
  <c r="I38" i="13"/>
  <c r="I34" i="13"/>
  <c r="G38" i="13"/>
  <c r="G39" i="13"/>
  <c r="J29" i="13"/>
  <c r="H36" i="13"/>
  <c r="H34" i="13"/>
  <c r="J38" i="13"/>
  <c r="H33" i="13"/>
  <c r="J39" i="13"/>
  <c r="H30" i="13"/>
  <c r="J34" i="13"/>
  <c r="J32" i="13"/>
  <c r="G33" i="13"/>
  <c r="G37" i="13"/>
  <c r="J35" i="13"/>
  <c r="H31" i="13"/>
  <c r="H35" i="13"/>
  <c r="G29" i="13"/>
  <c r="H38" i="13"/>
  <c r="J30" i="13"/>
  <c r="G35" i="13"/>
  <c r="G30" i="13"/>
  <c r="J33" i="13"/>
  <c r="G31" i="13"/>
  <c r="H39" i="13"/>
  <c r="H32" i="13"/>
  <c r="G34" i="13"/>
  <c r="J31" i="13"/>
  <c r="J36" i="13"/>
  <c r="H37" i="13"/>
  <c r="G32" i="13"/>
  <c r="J37" i="13"/>
  <c r="H29" i="13"/>
  <c r="J88" i="13"/>
  <c r="J62" i="13"/>
  <c r="J66" i="13"/>
  <c r="J68" i="13" s="1"/>
  <c r="K68" i="13" s="1"/>
  <c r="L68" i="13" s="1"/>
  <c r="J74" i="13"/>
  <c r="J77" i="13" s="1"/>
  <c r="K77" i="13" s="1"/>
  <c r="L77" i="13" s="1"/>
  <c r="J59" i="10"/>
  <c r="J89" i="10" s="1"/>
  <c r="I29" i="10"/>
  <c r="J58" i="10"/>
  <c r="I34" i="10"/>
  <c r="I30" i="10"/>
  <c r="I39" i="10"/>
  <c r="I35" i="10"/>
  <c r="I38" i="10"/>
  <c r="I33" i="10"/>
  <c r="J60" i="9"/>
  <c r="F27" i="9"/>
  <c r="F28" i="9" s="1"/>
  <c r="F29" i="9" s="1"/>
  <c r="F30" i="9" s="1"/>
  <c r="I45" i="9" s="1"/>
  <c r="B33" i="9"/>
  <c r="B13" i="9" s="1"/>
  <c r="B14" i="9" s="1"/>
  <c r="B41" i="9"/>
  <c r="I37" i="11"/>
  <c r="I38" i="11"/>
  <c r="I34" i="11"/>
  <c r="I39" i="11"/>
  <c r="I30" i="11"/>
  <c r="I35" i="11"/>
  <c r="I33" i="11"/>
  <c r="L30" i="12"/>
  <c r="J52" i="12"/>
  <c r="J59" i="12"/>
  <c r="J58" i="12"/>
  <c r="J65" i="12"/>
  <c r="H35" i="11"/>
  <c r="H36" i="11"/>
  <c r="H31" i="11"/>
  <c r="H33" i="11"/>
  <c r="H39" i="11"/>
  <c r="H34" i="11"/>
  <c r="H37" i="11"/>
  <c r="H32" i="11"/>
  <c r="H29" i="11"/>
  <c r="H30" i="11"/>
  <c r="H38" i="11"/>
  <c r="J39" i="11"/>
  <c r="J34" i="11"/>
  <c r="J37" i="11"/>
  <c r="J32" i="11"/>
  <c r="J29" i="11"/>
  <c r="J35" i="11"/>
  <c r="J36" i="11"/>
  <c r="J38" i="11"/>
  <c r="J33" i="11"/>
  <c r="J30" i="11"/>
  <c r="J31" i="11"/>
  <c r="G38" i="11"/>
  <c r="G33" i="11"/>
  <c r="G30" i="11"/>
  <c r="G36" i="11"/>
  <c r="G31" i="11"/>
  <c r="G35" i="11"/>
  <c r="G39" i="11"/>
  <c r="G34" i="11"/>
  <c r="G37" i="11"/>
  <c r="G32" i="11"/>
  <c r="G29" i="11"/>
  <c r="J66" i="11"/>
  <c r="J68" i="11" s="1"/>
  <c r="K68" i="11" s="1"/>
  <c r="L68" i="11" s="1"/>
  <c r="J88" i="11"/>
  <c r="J62" i="11"/>
  <c r="J74" i="11"/>
  <c r="J77" i="11" s="1"/>
  <c r="K77" i="11" s="1"/>
  <c r="L77" i="11" s="1"/>
  <c r="I29" i="11"/>
  <c r="I31" i="11"/>
  <c r="J89" i="11"/>
  <c r="J67" i="11"/>
  <c r="J69" i="11" s="1"/>
  <c r="K69" i="11" s="1"/>
  <c r="L69" i="11" s="1"/>
  <c r="J63" i="11"/>
  <c r="J76" i="11"/>
  <c r="J78" i="11" s="1"/>
  <c r="K78" i="11" s="1"/>
  <c r="L78" i="11" s="1"/>
  <c r="I32" i="11"/>
  <c r="J88" i="10"/>
  <c r="J62" i="10"/>
  <c r="J66" i="10"/>
  <c r="J68" i="10" s="1"/>
  <c r="K68" i="10" s="1"/>
  <c r="L68" i="10" s="1"/>
  <c r="J74" i="10"/>
  <c r="J77" i="10" s="1"/>
  <c r="K77" i="10" s="1"/>
  <c r="L77" i="10" s="1"/>
  <c r="J39" i="10"/>
  <c r="J34" i="10"/>
  <c r="J35" i="10"/>
  <c r="J36" i="10"/>
  <c r="J37" i="10"/>
  <c r="J32" i="10"/>
  <c r="J29" i="10"/>
  <c r="J38" i="10"/>
  <c r="J33" i="10"/>
  <c r="J30" i="10"/>
  <c r="J31" i="10"/>
  <c r="I32" i="10"/>
  <c r="I31" i="10"/>
  <c r="G38" i="10"/>
  <c r="G33" i="10"/>
  <c r="G30" i="10"/>
  <c r="G34" i="10"/>
  <c r="G36" i="10"/>
  <c r="G31" i="10"/>
  <c r="G35" i="10"/>
  <c r="G39" i="10"/>
  <c r="G37" i="10"/>
  <c r="G32" i="10"/>
  <c r="G29" i="10"/>
  <c r="H31" i="10"/>
  <c r="H38" i="10"/>
  <c r="H33" i="10"/>
  <c r="H36" i="10"/>
  <c r="H29" i="10"/>
  <c r="H35" i="10"/>
  <c r="H39" i="10"/>
  <c r="H37" i="10"/>
  <c r="H32" i="10"/>
  <c r="H34" i="10"/>
  <c r="H30" i="10"/>
  <c r="J67" i="10"/>
  <c r="J69" i="10" s="1"/>
  <c r="K69" i="10" s="1"/>
  <c r="L69" i="10" s="1"/>
  <c r="I37" i="10"/>
  <c r="Z38" i="9"/>
  <c r="W24" i="9"/>
  <c r="Z35" i="9"/>
  <c r="Z37" i="9"/>
  <c r="W25" i="9"/>
  <c r="Z36" i="9"/>
  <c r="Z33" i="9"/>
  <c r="Z34" i="9"/>
  <c r="Z41" i="9"/>
  <c r="W26" i="9"/>
  <c r="Z40" i="9"/>
  <c r="Z39" i="9"/>
  <c r="J66" i="8"/>
  <c r="J68" i="8" s="1"/>
  <c r="K68" i="8" s="1"/>
  <c r="L68" i="8" s="1"/>
  <c r="J62" i="8"/>
  <c r="K62" i="8" s="1"/>
  <c r="L62" i="8" s="1"/>
  <c r="J74" i="8"/>
  <c r="J77" i="8" s="1"/>
  <c r="K77" i="8" s="1"/>
  <c r="L77" i="8" s="1"/>
  <c r="J76" i="8"/>
  <c r="J78" i="8" s="1"/>
  <c r="K78" i="8" s="1"/>
  <c r="L78" i="8" s="1"/>
  <c r="J67" i="8"/>
  <c r="J69" i="8" s="1"/>
  <c r="K69" i="8" s="1"/>
  <c r="L69" i="8" s="1"/>
  <c r="J63" i="8"/>
  <c r="K63" i="8" s="1"/>
  <c r="L63" i="8" s="1"/>
  <c r="B29" i="8"/>
  <c r="B9" i="8" s="1"/>
  <c r="B10" i="8" s="1"/>
  <c r="B37" i="8"/>
  <c r="F23" i="8"/>
  <c r="J37" i="8" s="1"/>
  <c r="F24" i="8"/>
  <c r="G29" i="8" s="1"/>
  <c r="F25" i="8"/>
  <c r="H38" i="8" s="1"/>
  <c r="J52" i="8"/>
  <c r="I38" i="8"/>
  <c r="I34" i="8"/>
  <c r="I33" i="8"/>
  <c r="I29" i="8"/>
  <c r="I35" i="8"/>
  <c r="I36" i="8"/>
  <c r="I30" i="8"/>
  <c r="I39" i="8"/>
  <c r="I31" i="8"/>
  <c r="I32" i="8"/>
  <c r="I37" i="8"/>
  <c r="H33" i="8"/>
  <c r="J10" i="6"/>
  <c r="J26" i="6" s="1"/>
  <c r="B3" i="6"/>
  <c r="B19" i="6" s="1"/>
  <c r="F2" i="7"/>
  <c r="D3" i="7"/>
  <c r="C3" i="7"/>
  <c r="E3" i="7"/>
  <c r="B4" i="7"/>
  <c r="C4" i="7"/>
  <c r="E4" i="7" s="1"/>
  <c r="D4" i="7"/>
  <c r="B5" i="7"/>
  <c r="D5" i="7" s="1"/>
  <c r="C5" i="7"/>
  <c r="E5" i="7"/>
  <c r="B6" i="7"/>
  <c r="C6" i="7"/>
  <c r="E6" i="7" s="1"/>
  <c r="D6" i="7"/>
  <c r="B7" i="7"/>
  <c r="D7" i="7" s="1"/>
  <c r="C7" i="7"/>
  <c r="E7" i="7"/>
  <c r="B8" i="7"/>
  <c r="C8" i="7"/>
  <c r="E8" i="7" s="1"/>
  <c r="D8" i="7"/>
  <c r="B9" i="7"/>
  <c r="D9" i="7" s="1"/>
  <c r="C9" i="7"/>
  <c r="E9" i="7"/>
  <c r="B10" i="7"/>
  <c r="C10" i="7"/>
  <c r="E10" i="7" s="1"/>
  <c r="D10" i="7"/>
  <c r="B11" i="7"/>
  <c r="D11" i="7" s="1"/>
  <c r="C11" i="7"/>
  <c r="E11" i="7"/>
  <c r="B12" i="7"/>
  <c r="C12" i="7"/>
  <c r="E12" i="7" s="1"/>
  <c r="D12" i="7"/>
  <c r="B13" i="7"/>
  <c r="D13" i="7" s="1"/>
  <c r="C13" i="7"/>
  <c r="E13" i="7"/>
  <c r="B14" i="7"/>
  <c r="C14" i="7"/>
  <c r="E14" i="7" s="1"/>
  <c r="D14" i="7"/>
  <c r="B15" i="7"/>
  <c r="D15" i="7" s="1"/>
  <c r="C15" i="7"/>
  <c r="E15" i="7"/>
  <c r="B16" i="7"/>
  <c r="C16" i="7"/>
  <c r="E16" i="7" s="1"/>
  <c r="D16" i="7"/>
  <c r="B17" i="7"/>
  <c r="D17" i="7" s="1"/>
  <c r="C17" i="7"/>
  <c r="E17" i="7"/>
  <c r="B18" i="7"/>
  <c r="C18" i="7"/>
  <c r="E18" i="7" s="1"/>
  <c r="D18" i="7"/>
  <c r="C3" i="6"/>
  <c r="D3" i="6"/>
  <c r="D19" i="6" s="1"/>
  <c r="E3" i="6"/>
  <c r="E19" i="6" s="1"/>
  <c r="F3" i="6"/>
  <c r="F19" i="6" s="1"/>
  <c r="G3" i="6"/>
  <c r="G19" i="6" s="1"/>
  <c r="H3" i="6"/>
  <c r="H19" i="6" s="1"/>
  <c r="I3" i="6"/>
  <c r="I19" i="6" s="1"/>
  <c r="J3" i="6"/>
  <c r="J19" i="6" s="1"/>
  <c r="K3" i="6"/>
  <c r="L3" i="6"/>
  <c r="M3" i="6"/>
  <c r="M19" i="6" s="1"/>
  <c r="B4" i="6"/>
  <c r="B20" i="6" s="1"/>
  <c r="C4" i="6"/>
  <c r="C20" i="6" s="1"/>
  <c r="D4" i="6"/>
  <c r="D20" i="6" s="1"/>
  <c r="E4" i="6"/>
  <c r="E20" i="6" s="1"/>
  <c r="F4" i="6"/>
  <c r="F20" i="6" s="1"/>
  <c r="G4" i="6"/>
  <c r="H4" i="6"/>
  <c r="H20" i="6" s="1"/>
  <c r="I4" i="6"/>
  <c r="I20" i="6" s="1"/>
  <c r="J4" i="6"/>
  <c r="J20" i="6" s="1"/>
  <c r="K4" i="6"/>
  <c r="K20" i="6" s="1"/>
  <c r="L4" i="6"/>
  <c r="L20" i="6" s="1"/>
  <c r="M4" i="6"/>
  <c r="M20" i="6" s="1"/>
  <c r="B5" i="6"/>
  <c r="C5" i="6"/>
  <c r="D5" i="6"/>
  <c r="D21" i="6" s="1"/>
  <c r="E5" i="6"/>
  <c r="E21" i="6" s="1"/>
  <c r="F5" i="6"/>
  <c r="F21" i="6" s="1"/>
  <c r="G5" i="6"/>
  <c r="G21" i="6" s="1"/>
  <c r="H5" i="6"/>
  <c r="H21" i="6" s="1"/>
  <c r="I5" i="6"/>
  <c r="I21" i="6" s="1"/>
  <c r="J5" i="6"/>
  <c r="J21" i="6" s="1"/>
  <c r="K5" i="6"/>
  <c r="L5" i="6"/>
  <c r="L21" i="6" s="1"/>
  <c r="M5" i="6"/>
  <c r="M21" i="6" s="1"/>
  <c r="B6" i="6"/>
  <c r="B22" i="6" s="1"/>
  <c r="C6" i="6"/>
  <c r="C22" i="6" s="1"/>
  <c r="D6" i="6"/>
  <c r="D22" i="6" s="1"/>
  <c r="E6" i="6"/>
  <c r="E22" i="6" s="1"/>
  <c r="F6" i="6"/>
  <c r="G6" i="6"/>
  <c r="H6" i="6"/>
  <c r="I6" i="6"/>
  <c r="I22" i="6" s="1"/>
  <c r="J6" i="6"/>
  <c r="J22" i="6" s="1"/>
  <c r="K6" i="6"/>
  <c r="K22" i="6" s="1"/>
  <c r="L6" i="6"/>
  <c r="L22" i="6" s="1"/>
  <c r="M6" i="6"/>
  <c r="M22" i="6" s="1"/>
  <c r="B7" i="6"/>
  <c r="C7" i="6"/>
  <c r="D7" i="6"/>
  <c r="D23" i="6" s="1"/>
  <c r="E7" i="6"/>
  <c r="E23" i="6" s="1"/>
  <c r="F7" i="6"/>
  <c r="F23" i="6" s="1"/>
  <c r="G7" i="6"/>
  <c r="G23" i="6" s="1"/>
  <c r="H7" i="6"/>
  <c r="H23" i="6" s="1"/>
  <c r="I7" i="6"/>
  <c r="I23" i="6" s="1"/>
  <c r="J7" i="6"/>
  <c r="J23" i="6" s="1"/>
  <c r="K7" i="6"/>
  <c r="L7" i="6"/>
  <c r="L23" i="6" s="1"/>
  <c r="M7" i="6"/>
  <c r="M23" i="6" s="1"/>
  <c r="B8" i="6"/>
  <c r="B24" i="6" s="1"/>
  <c r="C8" i="6"/>
  <c r="C24" i="6" s="1"/>
  <c r="D8" i="6"/>
  <c r="D24" i="6" s="1"/>
  <c r="E8" i="6"/>
  <c r="E24" i="6" s="1"/>
  <c r="F8" i="6"/>
  <c r="F24" i="6" s="1"/>
  <c r="G8" i="6"/>
  <c r="H8" i="6"/>
  <c r="H24" i="6" s="1"/>
  <c r="I8" i="6"/>
  <c r="I24" i="6" s="1"/>
  <c r="J8" i="6"/>
  <c r="J24" i="6" s="1"/>
  <c r="K8" i="6"/>
  <c r="K24" i="6" s="1"/>
  <c r="L8" i="6"/>
  <c r="L24" i="6" s="1"/>
  <c r="M8" i="6"/>
  <c r="M24" i="6" s="1"/>
  <c r="B9" i="6"/>
  <c r="C9" i="6"/>
  <c r="D9" i="6"/>
  <c r="D25" i="6" s="1"/>
  <c r="E9" i="6"/>
  <c r="E25" i="6" s="1"/>
  <c r="F9" i="6"/>
  <c r="F25" i="6" s="1"/>
  <c r="G9" i="6"/>
  <c r="G25" i="6" s="1"/>
  <c r="H9" i="6"/>
  <c r="H25" i="6" s="1"/>
  <c r="I9" i="6"/>
  <c r="J9" i="6"/>
  <c r="J25" i="6" s="1"/>
  <c r="K9" i="6"/>
  <c r="L9" i="6"/>
  <c r="L25" i="6" s="1"/>
  <c r="M9" i="6"/>
  <c r="M25" i="6" s="1"/>
  <c r="B10" i="6"/>
  <c r="B26" i="6" s="1"/>
  <c r="C10" i="6"/>
  <c r="C26" i="6" s="1"/>
  <c r="D10" i="6"/>
  <c r="E10" i="6"/>
  <c r="F10" i="6"/>
  <c r="G10" i="6"/>
  <c r="H10" i="6"/>
  <c r="H26" i="6" s="1"/>
  <c r="I10" i="6"/>
  <c r="I26" i="6" s="1"/>
  <c r="K10" i="6"/>
  <c r="K26" i="6" s="1"/>
  <c r="L10" i="6"/>
  <c r="M10" i="6"/>
  <c r="B11" i="6"/>
  <c r="C11" i="6"/>
  <c r="C27" i="6" s="1"/>
  <c r="D11" i="6"/>
  <c r="D27" i="6" s="1"/>
  <c r="E11" i="6"/>
  <c r="E27" i="6" s="1"/>
  <c r="F11" i="6"/>
  <c r="F27" i="6" s="1"/>
  <c r="G11" i="6"/>
  <c r="G27" i="6" s="1"/>
  <c r="H11" i="6"/>
  <c r="I11" i="6"/>
  <c r="J11" i="6"/>
  <c r="K11" i="6"/>
  <c r="L11" i="6"/>
  <c r="L27" i="6" s="1"/>
  <c r="M11" i="6"/>
  <c r="M27" i="6" s="1"/>
  <c r="B12" i="6"/>
  <c r="B28" i="6" s="1"/>
  <c r="C12" i="6"/>
  <c r="C28" i="6" s="1"/>
  <c r="D12" i="6"/>
  <c r="D28" i="6" s="1"/>
  <c r="E12" i="6"/>
  <c r="F12" i="6"/>
  <c r="G12" i="6"/>
  <c r="H12" i="6"/>
  <c r="H28" i="6" s="1"/>
  <c r="I12" i="6"/>
  <c r="I28" i="6" s="1"/>
  <c r="J12" i="6"/>
  <c r="K12" i="6"/>
  <c r="L12" i="6"/>
  <c r="M12" i="6"/>
  <c r="B13" i="6"/>
  <c r="C13" i="6"/>
  <c r="D13" i="6"/>
  <c r="D29" i="6" s="1"/>
  <c r="E13" i="6"/>
  <c r="E29" i="6" s="1"/>
  <c r="F13" i="6"/>
  <c r="F29" i="6" s="1"/>
  <c r="G13" i="6"/>
  <c r="G29" i="6" s="1"/>
  <c r="H13" i="6"/>
  <c r="H29" i="6" s="1"/>
  <c r="I13" i="6"/>
  <c r="J13" i="6"/>
  <c r="K13" i="6"/>
  <c r="K29" i="6" s="1"/>
  <c r="L13" i="6"/>
  <c r="L29" i="6" s="1"/>
  <c r="M13" i="6"/>
  <c r="M29" i="6" s="1"/>
  <c r="B14" i="6"/>
  <c r="B30" i="6" s="1"/>
  <c r="C14" i="6"/>
  <c r="C30" i="6" s="1"/>
  <c r="D14" i="6"/>
  <c r="E14" i="6"/>
  <c r="F14" i="6"/>
  <c r="G14" i="6"/>
  <c r="G30" i="6" s="1"/>
  <c r="H14" i="6"/>
  <c r="H30" i="6" s="1"/>
  <c r="I14" i="6"/>
  <c r="I30" i="6" s="1"/>
  <c r="J14" i="6"/>
  <c r="J30" i="6" s="1"/>
  <c r="K14" i="6"/>
  <c r="K30" i="6" s="1"/>
  <c r="L14" i="6"/>
  <c r="M14" i="6"/>
  <c r="C19" i="6"/>
  <c r="K19" i="6"/>
  <c r="L19" i="6"/>
  <c r="G20" i="6"/>
  <c r="B21" i="6"/>
  <c r="C21" i="6"/>
  <c r="K21" i="6"/>
  <c r="F22" i="6"/>
  <c r="G22" i="6"/>
  <c r="H22" i="6"/>
  <c r="B23" i="6"/>
  <c r="C23" i="6"/>
  <c r="K23" i="6"/>
  <c r="G24" i="6"/>
  <c r="B25" i="6"/>
  <c r="C25" i="6"/>
  <c r="I25" i="6"/>
  <c r="K25" i="6"/>
  <c r="D26" i="6"/>
  <c r="E26" i="6"/>
  <c r="F26" i="6"/>
  <c r="G26" i="6"/>
  <c r="L26" i="6"/>
  <c r="M26" i="6"/>
  <c r="B27" i="6"/>
  <c r="H27" i="6"/>
  <c r="I27" i="6"/>
  <c r="J27" i="6"/>
  <c r="K27" i="6"/>
  <c r="E28" i="6"/>
  <c r="F28" i="6"/>
  <c r="G28" i="6"/>
  <c r="J28" i="6"/>
  <c r="K28" i="6"/>
  <c r="L28" i="6"/>
  <c r="M28" i="6"/>
  <c r="B29" i="6"/>
  <c r="C29" i="6"/>
  <c r="I29" i="6"/>
  <c r="J29" i="6"/>
  <c r="D30" i="6"/>
  <c r="E30" i="6"/>
  <c r="F30" i="6"/>
  <c r="L30" i="6"/>
  <c r="M30" i="6"/>
  <c r="J81" i="20" l="1"/>
  <c r="K81" i="20" s="1"/>
  <c r="K63" i="20"/>
  <c r="L63" i="20" s="1"/>
  <c r="J80" i="20"/>
  <c r="K80" i="20" s="1"/>
  <c r="K62" i="20"/>
  <c r="L62" i="20" s="1"/>
  <c r="AA34" i="16"/>
  <c r="AA38" i="16"/>
  <c r="AA39" i="16"/>
  <c r="AA33" i="16"/>
  <c r="AA35" i="16"/>
  <c r="AA40" i="16"/>
  <c r="AA36" i="16"/>
  <c r="AA32" i="16"/>
  <c r="AA37" i="16"/>
  <c r="G39" i="16"/>
  <c r="G42" i="16"/>
  <c r="G44" i="16"/>
  <c r="G40" i="16"/>
  <c r="G36" i="16"/>
  <c r="G46" i="16"/>
  <c r="G41" i="16"/>
  <c r="G37" i="16"/>
  <c r="G43" i="16"/>
  <c r="G38" i="16"/>
  <c r="G45" i="16"/>
  <c r="X32" i="16"/>
  <c r="X37" i="16"/>
  <c r="X34" i="16"/>
  <c r="X38" i="16"/>
  <c r="X39" i="16"/>
  <c r="X33" i="16"/>
  <c r="X35" i="16"/>
  <c r="X40" i="16"/>
  <c r="X36" i="16"/>
  <c r="J44" i="16"/>
  <c r="J40" i="16"/>
  <c r="J36" i="16"/>
  <c r="J46" i="16"/>
  <c r="J41" i="16"/>
  <c r="J37" i="16"/>
  <c r="J43" i="16"/>
  <c r="J38" i="16"/>
  <c r="J45" i="16"/>
  <c r="J39" i="16"/>
  <c r="J42" i="16"/>
  <c r="H42" i="16"/>
  <c r="H44" i="16"/>
  <c r="H40" i="16"/>
  <c r="H36" i="16"/>
  <c r="H46" i="16"/>
  <c r="H41" i="16"/>
  <c r="H37" i="16"/>
  <c r="H43" i="16"/>
  <c r="H38" i="16"/>
  <c r="H45" i="16"/>
  <c r="H39" i="16"/>
  <c r="Y32" i="16"/>
  <c r="Y37" i="16"/>
  <c r="Y34" i="16"/>
  <c r="Y38" i="16"/>
  <c r="Y39" i="16"/>
  <c r="Y33" i="16"/>
  <c r="Y35" i="16"/>
  <c r="Y40" i="16"/>
  <c r="Y36" i="16"/>
  <c r="J81" i="13"/>
  <c r="K81" i="13" s="1"/>
  <c r="K63" i="13"/>
  <c r="L63" i="13" s="1"/>
  <c r="J80" i="13"/>
  <c r="K80" i="13" s="1"/>
  <c r="K62" i="13"/>
  <c r="L62" i="13" s="1"/>
  <c r="J63" i="10"/>
  <c r="K63" i="10" s="1"/>
  <c r="L63" i="10" s="1"/>
  <c r="J76" i="10"/>
  <c r="J78" i="10" s="1"/>
  <c r="K78" i="10" s="1"/>
  <c r="L78" i="10" s="1"/>
  <c r="I40" i="9"/>
  <c r="I47" i="9"/>
  <c r="I42" i="9"/>
  <c r="I44" i="9"/>
  <c r="I37" i="9"/>
  <c r="I46" i="9"/>
  <c r="I38" i="9"/>
  <c r="F33" i="9"/>
  <c r="H40" i="9" s="1"/>
  <c r="F31" i="9"/>
  <c r="J45" i="9" s="1"/>
  <c r="I39" i="9"/>
  <c r="I43" i="9"/>
  <c r="F32" i="9"/>
  <c r="G43" i="9" s="1"/>
  <c r="I41" i="9"/>
  <c r="J76" i="12"/>
  <c r="J78" i="12" s="1"/>
  <c r="K78" i="12" s="1"/>
  <c r="L78" i="12" s="1"/>
  <c r="J89" i="12"/>
  <c r="J67" i="12"/>
  <c r="J69" i="12" s="1"/>
  <c r="K69" i="12" s="1"/>
  <c r="L69" i="12" s="1"/>
  <c r="J63" i="12"/>
  <c r="J88" i="12"/>
  <c r="J62" i="12"/>
  <c r="J66" i="12"/>
  <c r="J68" i="12" s="1"/>
  <c r="K68" i="12" s="1"/>
  <c r="L68" i="12" s="1"/>
  <c r="J74" i="12"/>
  <c r="J77" i="12" s="1"/>
  <c r="K77" i="12" s="1"/>
  <c r="L77" i="12" s="1"/>
  <c r="I37" i="12"/>
  <c r="I32" i="12"/>
  <c r="I29" i="12"/>
  <c r="I39" i="12"/>
  <c r="I35" i="12"/>
  <c r="I38" i="12"/>
  <c r="I34" i="12"/>
  <c r="I33" i="12"/>
  <c r="I36" i="12"/>
  <c r="I30" i="12"/>
  <c r="I31" i="12"/>
  <c r="G37" i="12"/>
  <c r="H39" i="12"/>
  <c r="J39" i="12"/>
  <c r="J33" i="12"/>
  <c r="G34" i="12"/>
  <c r="H37" i="12"/>
  <c r="J32" i="12"/>
  <c r="G38" i="12"/>
  <c r="H32" i="12"/>
  <c r="H30" i="12"/>
  <c r="J38" i="12"/>
  <c r="G39" i="12"/>
  <c r="G32" i="12"/>
  <c r="H34" i="12"/>
  <c r="J37" i="12"/>
  <c r="J30" i="12"/>
  <c r="G29" i="12"/>
  <c r="G35" i="12"/>
  <c r="J29" i="12"/>
  <c r="J34" i="12"/>
  <c r="G36" i="12"/>
  <c r="H36" i="12"/>
  <c r="H29" i="12"/>
  <c r="J35" i="12"/>
  <c r="J36" i="12"/>
  <c r="H33" i="12"/>
  <c r="J31" i="12"/>
  <c r="G30" i="12"/>
  <c r="G31" i="12"/>
  <c r="H31" i="12"/>
  <c r="H35" i="12"/>
  <c r="G33" i="12"/>
  <c r="H38" i="12"/>
  <c r="J80" i="11"/>
  <c r="K80" i="11" s="1"/>
  <c r="K62" i="11"/>
  <c r="L62" i="11" s="1"/>
  <c r="J81" i="11"/>
  <c r="K81" i="11" s="1"/>
  <c r="K63" i="11"/>
  <c r="L63" i="11" s="1"/>
  <c r="J80" i="10"/>
  <c r="K80" i="10" s="1"/>
  <c r="K62" i="10"/>
  <c r="L62" i="10" s="1"/>
  <c r="Y39" i="9"/>
  <c r="Y38" i="9"/>
  <c r="Y37" i="9"/>
  <c r="Y35" i="9"/>
  <c r="Y34" i="9"/>
  <c r="Y36" i="9"/>
  <c r="Y33" i="9"/>
  <c r="Y41" i="9"/>
  <c r="Y40" i="9"/>
  <c r="AA37" i="9"/>
  <c r="AA35" i="9"/>
  <c r="AA36" i="9"/>
  <c r="AA33" i="9"/>
  <c r="AA41" i="9"/>
  <c r="AA40" i="9"/>
  <c r="AA34" i="9"/>
  <c r="AA39" i="9"/>
  <c r="AA38" i="9"/>
  <c r="G39" i="9"/>
  <c r="X40" i="9"/>
  <c r="X34" i="9"/>
  <c r="X39" i="9"/>
  <c r="X38" i="9"/>
  <c r="X37" i="9"/>
  <c r="X35" i="9"/>
  <c r="X36" i="9"/>
  <c r="X33" i="9"/>
  <c r="X41" i="9"/>
  <c r="J35" i="8"/>
  <c r="J81" i="8"/>
  <c r="K81" i="8" s="1"/>
  <c r="J87" i="8" s="1"/>
  <c r="J80" i="8"/>
  <c r="K80" i="8" s="1"/>
  <c r="J31" i="8"/>
  <c r="J33" i="8"/>
  <c r="J38" i="8"/>
  <c r="H30" i="8"/>
  <c r="J34" i="8"/>
  <c r="J39" i="8"/>
  <c r="J36" i="8"/>
  <c r="J30" i="8"/>
  <c r="J29" i="8"/>
  <c r="G30" i="8"/>
  <c r="H29" i="8"/>
  <c r="G37" i="8"/>
  <c r="G38" i="8"/>
  <c r="G35" i="8"/>
  <c r="G36" i="8"/>
  <c r="H39" i="8"/>
  <c r="H35" i="8"/>
  <c r="G34" i="8"/>
  <c r="G31" i="8"/>
  <c r="H34" i="8"/>
  <c r="H36" i="8"/>
  <c r="G39" i="8"/>
  <c r="G33" i="8"/>
  <c r="J32" i="8"/>
  <c r="H37" i="8"/>
  <c r="H32" i="8"/>
  <c r="H31" i="8"/>
  <c r="G32" i="8"/>
  <c r="D10" i="5"/>
  <c r="D9" i="5"/>
  <c r="D8" i="5"/>
  <c r="D7" i="5"/>
  <c r="D6" i="5"/>
  <c r="D5" i="5"/>
  <c r="D4" i="5"/>
  <c r="D3" i="5"/>
  <c r="AC32" i="3"/>
  <c r="J86" i="20" l="1"/>
  <c r="L80" i="20"/>
  <c r="J87" i="20"/>
  <c r="L81" i="20"/>
  <c r="J86" i="13"/>
  <c r="L80" i="13"/>
  <c r="L81" i="13"/>
  <c r="J87" i="13"/>
  <c r="G40" i="9"/>
  <c r="G45" i="9"/>
  <c r="J81" i="10"/>
  <c r="K81" i="10" s="1"/>
  <c r="L81" i="10" s="1"/>
  <c r="J38" i="9"/>
  <c r="G41" i="9"/>
  <c r="G37" i="9"/>
  <c r="G42" i="9"/>
  <c r="G47" i="9"/>
  <c r="G38" i="9"/>
  <c r="G46" i="9"/>
  <c r="G44" i="9"/>
  <c r="J46" i="9"/>
  <c r="J39" i="9"/>
  <c r="H37" i="9"/>
  <c r="J43" i="9"/>
  <c r="H42" i="9"/>
  <c r="J40" i="9"/>
  <c r="J42" i="9"/>
  <c r="J41" i="9"/>
  <c r="J47" i="9"/>
  <c r="J37" i="9"/>
  <c r="H41" i="9"/>
  <c r="H44" i="9"/>
  <c r="H45" i="9"/>
  <c r="H46" i="9"/>
  <c r="H39" i="9"/>
  <c r="H38" i="9"/>
  <c r="H47" i="9"/>
  <c r="H43" i="9"/>
  <c r="J44" i="9"/>
  <c r="J80" i="12"/>
  <c r="K80" i="12" s="1"/>
  <c r="K62" i="12"/>
  <c r="L62" i="12" s="1"/>
  <c r="J81" i="12"/>
  <c r="K81" i="12" s="1"/>
  <c r="K63" i="12"/>
  <c r="L63" i="12" s="1"/>
  <c r="L81" i="11"/>
  <c r="J87" i="11"/>
  <c r="L80" i="11"/>
  <c r="J86" i="11"/>
  <c r="L80" i="10"/>
  <c r="J86" i="10"/>
  <c r="L80" i="8"/>
  <c r="J86" i="8"/>
  <c r="L81" i="8"/>
  <c r="G37" i="4"/>
  <c r="G35" i="4"/>
  <c r="G38" i="4" s="1"/>
  <c r="G33" i="4"/>
  <c r="G30" i="4"/>
  <c r="J87" i="10" l="1"/>
  <c r="J87" i="12"/>
  <c r="L81" i="12"/>
  <c r="L80" i="12"/>
  <c r="J86" i="12"/>
  <c r="I16" i="3"/>
  <c r="I23" i="3"/>
  <c r="I22" i="3"/>
  <c r="I24" i="3" s="1"/>
  <c r="B21" i="3"/>
  <c r="B37" i="3"/>
  <c r="B18" i="3" s="1"/>
  <c r="B36" i="3"/>
  <c r="B17" i="3" s="1"/>
  <c r="B28" i="3"/>
  <c r="B29" i="3" s="1"/>
  <c r="B27" i="3"/>
  <c r="B26" i="3"/>
  <c r="I17" i="3" l="1"/>
  <c r="I19" i="3" s="1"/>
  <c r="B46" i="3"/>
  <c r="B11" i="3"/>
  <c r="B12" i="3" s="1"/>
  <c r="J56" i="3" s="1"/>
  <c r="J57" i="3" s="1"/>
  <c r="J58" i="3" s="1"/>
  <c r="J59" i="3" s="1"/>
  <c r="B9" i="3"/>
  <c r="B39" i="3"/>
  <c r="B42" i="3" s="1"/>
  <c r="B43" i="3" s="1"/>
  <c r="B34" i="3" s="1"/>
  <c r="B15" i="3" s="1"/>
  <c r="B10" i="3"/>
  <c r="I18" i="3"/>
  <c r="B45" i="3"/>
  <c r="B35" i="3" s="1"/>
  <c r="B16" i="3" s="1"/>
  <c r="B30" i="3"/>
  <c r="B31" i="3"/>
  <c r="B44" i="3"/>
  <c r="J60" i="3" l="1"/>
  <c r="L38" i="3"/>
  <c r="B47" i="3"/>
  <c r="B48" i="3" s="1"/>
  <c r="B40" i="3"/>
  <c r="B32" i="3"/>
  <c r="F27" i="3" s="1"/>
  <c r="F28" i="3" s="1"/>
  <c r="F29" i="3" s="1"/>
  <c r="F30" i="3" s="1"/>
  <c r="B33" i="1"/>
  <c r="B14" i="1" s="1"/>
  <c r="B32" i="1"/>
  <c r="B13" i="1" s="1"/>
  <c r="I39" i="3" l="1"/>
  <c r="I41" i="3"/>
  <c r="I43" i="3"/>
  <c r="I45" i="3"/>
  <c r="I47" i="3"/>
  <c r="I37" i="3"/>
  <c r="I38" i="3"/>
  <c r="I40" i="3"/>
  <c r="I42" i="3"/>
  <c r="I44" i="3"/>
  <c r="I46" i="3"/>
  <c r="F32" i="3"/>
  <c r="G46" i="3" s="1"/>
  <c r="F31" i="3"/>
  <c r="J43" i="3" s="1"/>
  <c r="F33" i="3"/>
  <c r="H46" i="3" s="1"/>
  <c r="W20" i="3"/>
  <c r="W21" i="3" s="1"/>
  <c r="W22" i="3" s="1"/>
  <c r="W23" i="3" s="1"/>
  <c r="B33" i="3"/>
  <c r="B13" i="3" s="1"/>
  <c r="B14" i="3" s="1"/>
  <c r="B41" i="3"/>
  <c r="B35" i="1"/>
  <c r="B38" i="1" s="1"/>
  <c r="G44" i="3" l="1"/>
  <c r="J46" i="3"/>
  <c r="G42" i="3"/>
  <c r="J41" i="3"/>
  <c r="J39" i="3"/>
  <c r="H44" i="3"/>
  <c r="J44" i="3"/>
  <c r="J42" i="3"/>
  <c r="H40" i="3"/>
  <c r="G40" i="3"/>
  <c r="H39" i="3"/>
  <c r="H47" i="3"/>
  <c r="G47" i="3"/>
  <c r="H38" i="3"/>
  <c r="G38" i="3"/>
  <c r="G45" i="3"/>
  <c r="J38" i="3"/>
  <c r="G41" i="3"/>
  <c r="H43" i="3"/>
  <c r="H45" i="3"/>
  <c r="G43" i="3"/>
  <c r="J47" i="3"/>
  <c r="H42" i="3"/>
  <c r="J40" i="3"/>
  <c r="G39" i="3"/>
  <c r="G37" i="3"/>
  <c r="J37" i="3"/>
  <c r="J45" i="3"/>
  <c r="H41" i="3"/>
  <c r="H37" i="3"/>
  <c r="Z41" i="3"/>
  <c r="Z36" i="3"/>
  <c r="W25" i="3"/>
  <c r="Z33" i="3"/>
  <c r="W26" i="3"/>
  <c r="Z39" i="3"/>
  <c r="Z34" i="3"/>
  <c r="W24" i="3"/>
  <c r="Z37" i="3"/>
  <c r="Z38" i="3"/>
  <c r="Z40" i="3"/>
  <c r="Z35" i="3"/>
  <c r="B24" i="1"/>
  <c r="B23" i="1"/>
  <c r="B22" i="1"/>
  <c r="B42" i="1" l="1"/>
  <c r="B7" i="1"/>
  <c r="B8" i="1" s="1"/>
  <c r="J48" i="1" s="1"/>
  <c r="J49" i="1" s="1"/>
  <c r="J50" i="1" s="1"/>
  <c r="J51" i="1" s="1"/>
  <c r="B26" i="1"/>
  <c r="AA39" i="3"/>
  <c r="AA34" i="3"/>
  <c r="AA36" i="3"/>
  <c r="AA37" i="3"/>
  <c r="AA38" i="3"/>
  <c r="AA33" i="3"/>
  <c r="AA41" i="3"/>
  <c r="AA40" i="3"/>
  <c r="AA35" i="3"/>
  <c r="X38" i="3"/>
  <c r="X33" i="3"/>
  <c r="X40" i="3"/>
  <c r="X41" i="3"/>
  <c r="X36" i="3"/>
  <c r="X35" i="3"/>
  <c r="X39" i="3"/>
  <c r="X34" i="3"/>
  <c r="X37" i="3"/>
  <c r="Y38" i="3"/>
  <c r="Y33" i="3"/>
  <c r="Y41" i="3"/>
  <c r="Y36" i="3"/>
  <c r="Y34" i="3"/>
  <c r="Y39" i="3"/>
  <c r="Y35" i="3"/>
  <c r="Y37" i="3"/>
  <c r="Y40" i="3"/>
  <c r="B25" i="1"/>
  <c r="B41" i="1"/>
  <c r="B31" i="1" s="1"/>
  <c r="B12" i="1" s="1"/>
  <c r="B40" i="1"/>
  <c r="B27" i="1"/>
  <c r="J52" i="1" l="1"/>
  <c r="L30" i="1"/>
  <c r="B43" i="1"/>
  <c r="B44" i="1" s="1"/>
  <c r="B36" i="1"/>
  <c r="B39" i="1"/>
  <c r="B30" i="1" s="1"/>
  <c r="B11" i="1" s="1"/>
  <c r="B28" i="1"/>
  <c r="F19" i="1" s="1"/>
  <c r="B29" i="1" l="1"/>
  <c r="B9" i="1" s="1"/>
  <c r="B10" i="1" s="1"/>
  <c r="F20" i="1"/>
  <c r="F21" i="1" s="1"/>
  <c r="B37" i="1"/>
  <c r="F22" i="1" l="1"/>
  <c r="I36" i="1" l="1"/>
  <c r="I33" i="1"/>
  <c r="I38" i="1"/>
  <c r="I35" i="1"/>
  <c r="I31" i="1"/>
  <c r="I37" i="1"/>
  <c r="I29" i="1"/>
  <c r="I39" i="1"/>
  <c r="I34" i="1"/>
  <c r="I32" i="1"/>
  <c r="I30" i="1"/>
  <c r="F23" i="1"/>
  <c r="F24" i="1"/>
  <c r="F25" i="1"/>
  <c r="J35" i="1" l="1"/>
  <c r="J33" i="1"/>
  <c r="J39" i="1"/>
  <c r="J34" i="1"/>
  <c r="J31" i="1"/>
  <c r="J30" i="1"/>
  <c r="J32" i="1"/>
  <c r="J36" i="1"/>
  <c r="J37" i="1"/>
  <c r="J38" i="1"/>
  <c r="J29" i="1"/>
  <c r="H36" i="1"/>
  <c r="H39" i="1"/>
  <c r="H34" i="1"/>
  <c r="H38" i="1"/>
  <c r="H32" i="1"/>
  <c r="H31" i="1"/>
  <c r="H30" i="1"/>
  <c r="H37" i="1"/>
  <c r="H35" i="1"/>
  <c r="H29" i="1"/>
  <c r="H33" i="1"/>
  <c r="G31" i="1"/>
  <c r="G29" i="1"/>
  <c r="G38" i="1"/>
  <c r="G39" i="1"/>
  <c r="G36" i="1"/>
  <c r="G32" i="1"/>
  <c r="G33" i="1"/>
  <c r="G34" i="1"/>
  <c r="G30" i="1"/>
  <c r="G35" i="1"/>
  <c r="G37" i="1"/>
</calcChain>
</file>

<file path=xl/sharedStrings.xml><?xml version="1.0" encoding="utf-8"?>
<sst xmlns="http://schemas.openxmlformats.org/spreadsheetml/2006/main" count="2548" uniqueCount="307">
  <si>
    <t>Value</t>
  </si>
  <si>
    <t>Notes</t>
  </si>
  <si>
    <t>Product of Above 2 Parameters</t>
  </si>
  <si>
    <t>Average Speed</t>
  </si>
  <si>
    <t>ESR/Swath Coverage</t>
  </si>
  <si>
    <t>Speed/Scan Rate</t>
  </si>
  <si>
    <t>FOV/360*PRF</t>
  </si>
  <si>
    <t>2*ALT*TAN(FOV/2)*PI/180</t>
  </si>
  <si>
    <t>Sampling rate only, does not consider multiple retruns per pulse.</t>
  </si>
  <si>
    <t>Along-Track Line Spacing (m)(All Channels)</t>
  </si>
  <si>
    <t>#Channels</t>
  </si>
  <si>
    <t>PRF/Channel (kHz)</t>
  </si>
  <si>
    <t>Effective Sampling Rate (ESR) (kHz)(Per Channel)</t>
  </si>
  <si>
    <t>Cross-Track Point Spacing (m)(Per Channel)</t>
  </si>
  <si>
    <t>Along-Track Line Spacing (m)(Per Channel)</t>
  </si>
  <si>
    <t>FOV/360*(PRF Per Channel)</t>
  </si>
  <si>
    <t>Channel-To-Channel Seperation (m)</t>
  </si>
  <si>
    <t>Speed/Scan Rate/#Channels</t>
  </si>
  <si>
    <t>Scan Lag</t>
  </si>
  <si>
    <t>Time Lag (s)</t>
  </si>
  <si>
    <t>Per Channel Calculations</t>
  </si>
  <si>
    <r>
      <t>Average Point Density (pts/m</t>
    </r>
    <r>
      <rPr>
        <b/>
        <vertAlign val="superscript"/>
        <sz val="11"/>
        <color rgb="FF00B050"/>
        <rFont val="Calibri"/>
        <family val="2"/>
        <scheme val="minor"/>
      </rPr>
      <t>2</t>
    </r>
    <r>
      <rPr>
        <b/>
        <sz val="11"/>
        <color rgb="FF00B050"/>
        <rFont val="Calibri"/>
        <family val="2"/>
        <scheme val="minor"/>
      </rPr>
      <t>)(Per Channel)</t>
    </r>
  </si>
  <si>
    <t>(ESR Per Channel)/Swath Coverage</t>
  </si>
  <si>
    <t>Same as Per Channel calculation below.</t>
  </si>
  <si>
    <t>Same as All Channel calculation below.</t>
  </si>
  <si>
    <t>PRF/#Channels</t>
  </si>
  <si>
    <t>#Scans Difference between Adjacent Channels Along-Track</t>
  </si>
  <si>
    <t>Time Difference between Adjacent Channels Along-Track</t>
  </si>
  <si>
    <t>3.2 degree seperation on Ground from Altitude Specified</t>
  </si>
  <si>
    <t>Units</t>
  </si>
  <si>
    <t>kHz</t>
  </si>
  <si>
    <t>Hz</t>
  </si>
  <si>
    <t>m/s</t>
  </si>
  <si>
    <t>m</t>
  </si>
  <si>
    <t>Degrees</t>
  </si>
  <si>
    <t>Pulse Repetition Frequency (PRF)</t>
  </si>
  <si>
    <t>Field of View (FOV) (Full)</t>
  </si>
  <si>
    <t>Scan Rate</t>
  </si>
  <si>
    <t>Altitude</t>
  </si>
  <si>
    <t>Effective Sampling Rate (ESR)</t>
  </si>
  <si>
    <t>Swath Width</t>
  </si>
  <si>
    <t>Swath Length</t>
  </si>
  <si>
    <t>Swath Coverage</t>
  </si>
  <si>
    <t>Average Point Density</t>
  </si>
  <si>
    <t>Cross-Track Point Spacing</t>
  </si>
  <si>
    <t>Along-Track Line Spacing</t>
  </si>
  <si>
    <t>s</t>
  </si>
  <si>
    <t>#</t>
  </si>
  <si>
    <t>… I will get this point spacing (cross-track at nadir)</t>
  </si>
  <si>
    <t>… I will get this point spacing (along track at nadir)</t>
  </si>
  <si>
    <t>Maximum effective altitude for True View 410 is 75 m.</t>
  </si>
  <si>
    <t>Drone-dependent; recommend 5 m/s for typical projects.</t>
  </si>
  <si>
    <t>Variable; recommend no greater then 90 degrees max, 80 degrees or less preferred.</t>
  </si>
  <si>
    <r>
      <t>m</t>
    </r>
    <r>
      <rPr>
        <vertAlign val="superscript"/>
        <sz val="11"/>
        <rFont val="Calibri"/>
        <family val="2"/>
        <scheme val="minor"/>
      </rPr>
      <t>2</t>
    </r>
    <r>
      <rPr>
        <sz val="11"/>
        <rFont val="Calibri"/>
        <family val="2"/>
        <scheme val="minor"/>
      </rPr>
      <t>/s</t>
    </r>
  </si>
  <si>
    <r>
      <t>pts/m</t>
    </r>
    <r>
      <rPr>
        <vertAlign val="superscript"/>
        <sz val="11"/>
        <rFont val="Calibri"/>
        <family val="2"/>
        <scheme val="minor"/>
      </rPr>
      <t>2</t>
    </r>
  </si>
  <si>
    <t>(360*SR)/(PRF/Channel)</t>
  </si>
  <si>
    <t>Angular Rate of Change Per Pulse (Per Channel)</t>
  </si>
  <si>
    <t>deg/pulse</t>
  </si>
  <si>
    <t>cm</t>
  </si>
  <si>
    <t>ALT*TAN(ARC)*PI/180</t>
  </si>
  <si>
    <r>
      <t>pts/m</t>
    </r>
    <r>
      <rPr>
        <i/>
        <vertAlign val="superscript"/>
        <sz val="11"/>
        <color theme="1"/>
        <rFont val="Calibri"/>
        <family val="2"/>
        <scheme val="minor"/>
      </rPr>
      <t>2</t>
    </r>
  </si>
  <si>
    <t>Revision</t>
  </si>
  <si>
    <r>
      <t>m</t>
    </r>
    <r>
      <rPr>
        <vertAlign val="superscript"/>
        <sz val="11"/>
        <color theme="1"/>
        <rFont val="Calibri"/>
        <family val="2"/>
        <scheme val="minor"/>
      </rPr>
      <t>2</t>
    </r>
    <r>
      <rPr>
        <sz val="11"/>
        <color theme="1"/>
        <rFont val="Calibri"/>
        <family val="2"/>
        <scheme val="minor"/>
      </rPr>
      <t>/minute</t>
    </r>
  </si>
  <si>
    <r>
      <t>km</t>
    </r>
    <r>
      <rPr>
        <vertAlign val="superscript"/>
        <sz val="11"/>
        <color theme="1"/>
        <rFont val="Calibri"/>
        <family val="2"/>
        <scheme val="minor"/>
      </rPr>
      <t>2</t>
    </r>
    <r>
      <rPr>
        <sz val="11"/>
        <color theme="1"/>
        <rFont val="Calibri"/>
        <family val="2"/>
        <scheme val="minor"/>
      </rPr>
      <t>/minute</t>
    </r>
  </si>
  <si>
    <r>
      <t>km</t>
    </r>
    <r>
      <rPr>
        <vertAlign val="superscript"/>
        <sz val="11"/>
        <color theme="1"/>
        <rFont val="Calibri"/>
        <family val="2"/>
        <scheme val="minor"/>
      </rPr>
      <t>2</t>
    </r>
    <r>
      <rPr>
        <sz val="11"/>
        <color theme="1"/>
        <rFont val="Calibri"/>
        <family val="2"/>
        <scheme val="minor"/>
      </rPr>
      <t>/hour</t>
    </r>
  </si>
  <si>
    <r>
      <t>mi</t>
    </r>
    <r>
      <rPr>
        <vertAlign val="superscript"/>
        <sz val="11"/>
        <color theme="1"/>
        <rFont val="Calibri"/>
        <family val="2"/>
        <scheme val="minor"/>
      </rPr>
      <t>2</t>
    </r>
    <r>
      <rPr>
        <sz val="11"/>
        <color theme="1"/>
        <rFont val="Calibri"/>
        <family val="2"/>
        <scheme val="minor"/>
      </rPr>
      <t>/hour</t>
    </r>
  </si>
  <si>
    <t>acres/hour</t>
  </si>
  <si>
    <t>hectares/hour</t>
  </si>
  <si>
    <r>
      <t>m</t>
    </r>
    <r>
      <rPr>
        <vertAlign val="superscript"/>
        <sz val="11"/>
        <color theme="1"/>
        <rFont val="Calibri"/>
        <family val="2"/>
        <scheme val="minor"/>
      </rPr>
      <t>2</t>
    </r>
    <r>
      <rPr>
        <sz val="11"/>
        <color theme="1"/>
        <rFont val="Calibri"/>
        <family val="2"/>
        <scheme val="minor"/>
      </rPr>
      <t>/second</t>
    </r>
  </si>
  <si>
    <t>Duration</t>
  </si>
  <si>
    <t>acres</t>
  </si>
  <si>
    <t>hectares</t>
  </si>
  <si>
    <t>Coverage for Specific Flight Durations (Minutes)</t>
  </si>
  <si>
    <r>
      <t>km</t>
    </r>
    <r>
      <rPr>
        <vertAlign val="superscript"/>
        <sz val="11"/>
        <color theme="1"/>
        <rFont val="Calibri"/>
        <family val="2"/>
        <scheme val="minor"/>
      </rPr>
      <t>2</t>
    </r>
  </si>
  <si>
    <r>
      <t>mi</t>
    </r>
    <r>
      <rPr>
        <vertAlign val="superscript"/>
        <sz val="11"/>
        <color theme="1"/>
        <rFont val="Calibri"/>
        <family val="2"/>
        <scheme val="minor"/>
      </rPr>
      <t>2</t>
    </r>
  </si>
  <si>
    <t>Overlap Factor</t>
  </si>
  <si>
    <t>Overlap</t>
  </si>
  <si>
    <t>mrad</t>
  </si>
  <si>
    <t>Spot Size (Cross-Track)</t>
  </si>
  <si>
    <t>Spot Size (Along-Track)</t>
  </si>
  <si>
    <t>From manufacturer.</t>
  </si>
  <si>
    <t>2*ALT*TAN((BD/2)/1000)*100</t>
  </si>
  <si>
    <t>2*ALT*TAN((BD/2)/1000)*101</t>
  </si>
  <si>
    <t>Beam Divergence  (Cross-Track, full angle)</t>
  </si>
  <si>
    <t>Beam Divergence  (Along-Track, full angle)</t>
  </si>
  <si>
    <t>… I will have a spot size (cross-track at nadir)</t>
  </si>
  <si>
    <t>… I will have a spot size (along-track at nadir)</t>
  </si>
  <si>
    <t>At Nadir</t>
  </si>
  <si>
    <t>Maximum effective altitude for True View 6xx is 100 m.</t>
  </si>
  <si>
    <t>Sampling rate only, does not consider multiple returns per pulse.</t>
  </si>
  <si>
    <t>True View 410</t>
  </si>
  <si>
    <t>True View 6xx</t>
  </si>
  <si>
    <t>System Parameters (From Manufacturer)</t>
  </si>
  <si>
    <t>Operational Parameters (Calculated From Above Settings)</t>
  </si>
  <si>
    <t>Flight Parameters</t>
  </si>
  <si>
    <t>Scans 360 degrees.  True View 410 scan rate is not adjustable by the user.</t>
  </si>
  <si>
    <t>For multibeam/fan-type laser scanners</t>
  </si>
  <si>
    <t>From above.</t>
  </si>
  <si>
    <t>Coverage Estimates</t>
  </si>
  <si>
    <t>I want to use this scan rate (Hz)</t>
  </si>
  <si>
    <t>… I will need to set the angular step width to</t>
  </si>
  <si>
    <t>degrees</t>
  </si>
  <si>
    <t>Scans 360 degrees.  True View 6xx adjustable from 10 Hz - 100 Hz</t>
  </si>
  <si>
    <t>Scan Rate to Angular Step Width Conversions</t>
  </si>
  <si>
    <t>PRF</t>
  </si>
  <si>
    <t>Speed</t>
  </si>
  <si>
    <t>Height</t>
  </si>
  <si>
    <t>Cross-Track</t>
  </si>
  <si>
    <t>Along-Track</t>
  </si>
  <si>
    <t>Set Step Width to …</t>
  </si>
  <si>
    <t>For Uniform Point Spacing</t>
  </si>
  <si>
    <t>Set Scan Rate to …</t>
  </si>
  <si>
    <t>For a Fixed Step Width</t>
  </si>
  <si>
    <t>Step Width Set to …</t>
  </si>
  <si>
    <t>Cross-Track Spacing …</t>
  </si>
  <si>
    <t>Along-Track Spacing …</t>
  </si>
  <si>
    <t>Spacing at Nadir.  Use the side note to calculate settings for uniform spacing.</t>
  </si>
  <si>
    <t>… But the scan rate for uniform point spacing will be</t>
  </si>
  <si>
    <t xml:space="preserve">For uniform along/cross-track spacing.  </t>
  </si>
  <si>
    <t>See side note.</t>
  </si>
  <si>
    <t>I want to use this pulse repetion frequency (in KHz))</t>
  </si>
  <si>
    <t>Height (AGL)(m)</t>
  </si>
  <si>
    <t>FOV (Half-Angle)(Degrees)</t>
  </si>
  <si>
    <t>If …</t>
  </si>
  <si>
    <t>Then …</t>
  </si>
  <si>
    <t>For a given vertical surface (m)</t>
  </si>
  <si>
    <t>For a given offset (m)</t>
  </si>
  <si>
    <t>Your optimum offset should be (m)</t>
  </si>
  <si>
    <t>Your highest vertical surface should be (m)</t>
  </si>
  <si>
    <t>A larger offset will not scan the full height of your surface.  A smaller offset may not have line of sights to the full vertical surface (consider the case of an offset of '0').</t>
  </si>
  <si>
    <t>A higher vertical surface will be clipped at this height.</t>
  </si>
  <si>
    <t>Your swath width on the ground will be (m)</t>
  </si>
  <si>
    <t>Your slant range to the top of the surface</t>
  </si>
  <si>
    <t>Your slant range to the bottom of the surface</t>
  </si>
  <si>
    <t>I plan to fly at this height (in meters)</t>
  </si>
  <si>
    <t>I plan to fly at this speed (in m/s)</t>
  </si>
  <si>
    <t>I plan to use this total field-of-view (full angle, in degrees)</t>
  </si>
  <si>
    <t>%</t>
  </si>
  <si>
    <t>%overlap between adjacent flight lines.</t>
  </si>
  <si>
    <t>I plan to have this %overlap (side)</t>
  </si>
  <si>
    <t>… I will get this swath width on the ground</t>
  </si>
  <si>
    <t>Spacing at Nadir, Single Pass</t>
  </si>
  <si>
    <t>… I will get this average point density (single pass)</t>
  </si>
  <si>
    <t>… I will get this average point density (overlap)</t>
  </si>
  <si>
    <t>… I will need to use this line-to-line spacing</t>
  </si>
  <si>
    <t>I plan to have this total field-of-view (full angle, in degrees)</t>
  </si>
  <si>
    <t>Feet (f) to Meters (m)</t>
  </si>
  <si>
    <t>Meters (m) to Feet (f)</t>
  </si>
  <si>
    <t>m/s to f/s</t>
  </si>
  <si>
    <t>f/s to m/s</t>
  </si>
  <si>
    <t>Meters</t>
  </si>
  <si>
    <t xml:space="preserve">is </t>
  </si>
  <si>
    <t xml:space="preserve">Feet </t>
  </si>
  <si>
    <t>Feet</t>
  </si>
  <si>
    <t>f/s</t>
  </si>
  <si>
    <t>kph</t>
  </si>
  <si>
    <t>mph</t>
  </si>
  <si>
    <t>f/s to mph</t>
  </si>
  <si>
    <t>m/s to kph</t>
  </si>
  <si>
    <t>mph to kph</t>
  </si>
  <si>
    <t>kph to mph</t>
  </si>
  <si>
    <t>&lt;= Altitude (Meters)</t>
  </si>
  <si>
    <t>Line-to-Line Spacing for %Overlap for Above Swath Width</t>
  </si>
  <si>
    <t>Scan Angle (Half-Angle)
(Degrees)</t>
  </si>
  <si>
    <t>Altitude (m)</t>
  </si>
  <si>
    <t>Swath Width for Given Altitude &amp; Scan Angle</t>
  </si>
  <si>
    <t>MP</t>
  </si>
  <si>
    <t>GSD (AT)(cm)</t>
  </si>
  <si>
    <t>GSD (CT)(cm)</t>
  </si>
  <si>
    <t>Along-Track FOV (m)</t>
  </si>
  <si>
    <t>Cross-Track FOV (m)</t>
  </si>
  <si>
    <t>==&gt;</t>
  </si>
  <si>
    <t>A coarse GSD can be calculated form Flying Height/4500.  (Column F)</t>
  </si>
  <si>
    <t>Oblique mounting is 25 degree off-nadir.</t>
  </si>
  <si>
    <t>MAX</t>
  </si>
  <si>
    <t>6xx</t>
  </si>
  <si>
    <t>Turns (Line-to-Line Transit)</t>
  </si>
  <si>
    <t>#Lines Planned</t>
  </si>
  <si>
    <t>Turns (Total Time)</t>
  </si>
  <si>
    <t>Total Dead Time (Init., Transit, Turns)</t>
  </si>
  <si>
    <t>Dead Time Percentage</t>
  </si>
  <si>
    <t>Collect Time Percentage</t>
  </si>
  <si>
    <t>Planned Flight Duration (Total)(minutes)</t>
  </si>
  <si>
    <t>Initialization (Pre)(seconds)</t>
  </si>
  <si>
    <t>Transit Leg (Start)(seconds)</t>
  </si>
  <si>
    <t>Transit Leg (End)(seconds)</t>
  </si>
  <si>
    <t>Initialization (Post)(seconds)</t>
  </si>
  <si>
    <t>Dead Time%</t>
  </si>
  <si>
    <t>DT%</t>
  </si>
  <si>
    <t>ON(1)/OFF(0)</t>
  </si>
  <si>
    <t>Actual Collect Time/Dead Time Per Flight</t>
  </si>
  <si>
    <t>True View 515</t>
  </si>
  <si>
    <t>Maximum effective altitude for True View 515 is 80 m.</t>
  </si>
  <si>
    <r>
      <t xml:space="preserve">Scans 360 degrees.  </t>
    </r>
    <r>
      <rPr>
        <sz val="11"/>
        <color rgb="FFFF0000"/>
        <rFont val="Calibri"/>
        <family val="2"/>
        <scheme val="minor"/>
      </rPr>
      <t>True View 515 scan rate is not adjustable by the user?</t>
    </r>
  </si>
  <si>
    <t>1.0 degree channel seperation on Ground from Altitude Specified</t>
  </si>
  <si>
    <t>V1.11</t>
  </si>
  <si>
    <r>
      <t xml:space="preserve">True View 6xx can be set to 100 or 200 kHz.  </t>
    </r>
    <r>
      <rPr>
        <sz val="11"/>
        <color rgb="FFFF0000"/>
        <rFont val="Calibri"/>
        <family val="2"/>
        <scheme val="minor"/>
      </rPr>
      <t>Is this true for a 300 kHz version?</t>
    </r>
  </si>
  <si>
    <t>Site Size (X)(m)</t>
  </si>
  <si>
    <t>Site Size (Y)(m)</t>
  </si>
  <si>
    <t>Line Spacing (wt overlap)(m)</t>
  </si>
  <si>
    <t>Time/Line (X)(s)</t>
  </si>
  <si>
    <t>Time/Line (Y)(s)</t>
  </si>
  <si>
    <t>Time/Turn Leg (s)</t>
  </si>
  <si>
    <t>#Turns (X)</t>
  </si>
  <si>
    <t>#Turns (Y)</t>
  </si>
  <si>
    <t>Time in Turns (X)</t>
  </si>
  <si>
    <t>Time in Turns (Y)</t>
  </si>
  <si>
    <t>Time on Line (X)(s)</t>
  </si>
  <si>
    <t>Time on Line (Y)(s)</t>
  </si>
  <si>
    <t>Time/Heading Alignment (s)</t>
  </si>
  <si>
    <t>Heading Alignment Every X (m)</t>
  </si>
  <si>
    <t>#Heading Alignment/Line (X)</t>
  </si>
  <si>
    <t>#Heading Alignment Total (X)</t>
  </si>
  <si>
    <t>Time in Heading Alignment (X)(s)</t>
  </si>
  <si>
    <t>Time in Heading Alignment (Y)(s)</t>
  </si>
  <si>
    <t>#Heading Alignment/Line (Y)</t>
  </si>
  <si>
    <t>#Heading Alignment Total (Y)</t>
  </si>
  <si>
    <t>Total Time (L+T+HA)(X)(s)</t>
  </si>
  <si>
    <t>Total Time (L+T+HA)(Y)(s)</t>
  </si>
  <si>
    <t>Max Flight Duration (m)</t>
  </si>
  <si>
    <t>#Lines/Flight (X)</t>
  </si>
  <si>
    <t>#Lines/Flight (Y)</t>
  </si>
  <si>
    <t>#Flights By Time (X)</t>
  </si>
  <si>
    <t>#Flights By Time (Y)</t>
  </si>
  <si>
    <t>#Flights By Line (X)</t>
  </si>
  <si>
    <t>#Flights By Line (Y)</t>
  </si>
  <si>
    <t>#Blocks (X)</t>
  </si>
  <si>
    <t>#Blocks (Y)</t>
  </si>
  <si>
    <t>Max Line Length (m)</t>
  </si>
  <si>
    <t>#Lines (X)(North-South)</t>
  </si>
  <si>
    <t>#Lines (Y)(East-West)</t>
  </si>
  <si>
    <t>V2.00</t>
  </si>
  <si>
    <t>True View 535</t>
  </si>
  <si>
    <t>V2.01</t>
  </si>
  <si>
    <t>Lidar</t>
  </si>
  <si>
    <t>Models</t>
  </si>
  <si>
    <t>Divergence (mrad)</t>
  </si>
  <si>
    <t>Spot Size (cm)</t>
  </si>
  <si>
    <t>CT</t>
  </si>
  <si>
    <t>AT</t>
  </si>
  <si>
    <t>Range (m)</t>
  </si>
  <si>
    <t>Hesai M2X</t>
  </si>
  <si>
    <t>Hesai XT-32</t>
  </si>
  <si>
    <t>Quanergy M8 Ultra</t>
  </si>
  <si>
    <t>Riegl miniVUX</t>
  </si>
  <si>
    <t>Riegl VUX1-LR</t>
  </si>
  <si>
    <t>Riegl VUX120</t>
  </si>
  <si>
    <t>Area (cm^2)</t>
  </si>
  <si>
    <t>Spot (cm^2)</t>
  </si>
  <si>
    <t>Diameter</t>
  </si>
  <si>
    <t>Normalized</t>
  </si>
  <si>
    <t>Divergence (Norm)</t>
  </si>
  <si>
    <t>Area (Norm)</t>
  </si>
  <si>
    <t>Spot (Norm)</t>
  </si>
  <si>
    <t>cm^2</t>
  </si>
  <si>
    <t>Velodyne PUCK VLP-16</t>
  </si>
  <si>
    <t>HR</t>
  </si>
  <si>
    <t>Livox Horizon or Avia</t>
  </si>
  <si>
    <t>L1</t>
  </si>
  <si>
    <t>435, 535, UHR Lite, UHR</t>
  </si>
  <si>
    <t>True View 540</t>
  </si>
  <si>
    <t>Variable; Maximun FOV 75 degrees</t>
  </si>
  <si>
    <t>Max FOV</t>
  </si>
  <si>
    <t>(Max FOV*SR)/(PRF/Channel)</t>
  </si>
  <si>
    <t>FOV/MaxFOV*(PRF Per Channel)</t>
  </si>
  <si>
    <t>Scans 75 degrees.  True View 540 adjustable from 50 Hz - 250 Hz</t>
  </si>
  <si>
    <t>True View 540 can be set to 100 to 500 kHz.</t>
  </si>
  <si>
    <t>FOV/MaxFOV*PRF</t>
  </si>
  <si>
    <t>True View 720</t>
  </si>
  <si>
    <t>Variable; Maximun FOV 100 degrees</t>
  </si>
  <si>
    <t>True View 720 can be set to 150 to 2400 kHz.</t>
  </si>
  <si>
    <t>Scans 360 degrees.</t>
  </si>
  <si>
    <t xml:space="preserve">From manufacturer. </t>
  </si>
  <si>
    <t>True View 720 adjustable from 50 Hz - 400 Hz</t>
  </si>
  <si>
    <t>True View 6xx can be set to 100 or 300 kHz.</t>
  </si>
  <si>
    <t>True View 680 can be set to 100 or 1200 kHz.</t>
  </si>
  <si>
    <t>Scans 360 degrees.  True View 680 adjustable from 10 Hz - 100 Hz</t>
  </si>
  <si>
    <t>Maximum effective altitude for True View 680 is 500 m.</t>
  </si>
  <si>
    <t>Maximum effective altitude for True View 660 is 100 m.</t>
  </si>
  <si>
    <t>Maximum effective altitude for True View 540 is 400 m.</t>
  </si>
  <si>
    <t>Maximum effective altitude for True View 720 is 720 m.</t>
  </si>
  <si>
    <t>True View 660</t>
  </si>
  <si>
    <t>True View 680</t>
  </si>
  <si>
    <t>Maximum effective altitude for True View 535 is 80 m.</t>
  </si>
  <si>
    <t>Camera FOV</t>
  </si>
  <si>
    <t>deg</t>
  </si>
  <si>
    <t>45MP camera, Full Frame, 21mm lens</t>
  </si>
  <si>
    <t>Camera Info</t>
  </si>
  <si>
    <t>80% front overlap is maintained during flight planning unless overriden by the user.</t>
  </si>
  <si>
    <t>Image Overlap (Side)</t>
  </si>
  <si>
    <t>Image Overlap (Front)</t>
  </si>
  <si>
    <t>V2.05</t>
  </si>
  <si>
    <t>Swath Width on Ground at Planned Flying Height</t>
  </si>
  <si>
    <t>At planned line spacing.</t>
  </si>
  <si>
    <t>True View 1</t>
  </si>
  <si>
    <t>Cameras</t>
  </si>
  <si>
    <t>26MP</t>
  </si>
  <si>
    <t>45MP</t>
  </si>
  <si>
    <t>61MP</t>
  </si>
  <si>
    <t>Px size</t>
  </si>
  <si>
    <t>mm</t>
  </si>
  <si>
    <t>px</t>
  </si>
  <si>
    <t>FOV Across</t>
  </si>
  <si>
    <t>Focal (px)</t>
  </si>
  <si>
    <t>Focal (mm)</t>
  </si>
  <si>
    <t>Maximum effective altitude for True View 1 is 80 m.</t>
  </si>
  <si>
    <t>Width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</si>
</sst>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0.000"/>
    <numFmt numFmtId="166" formatCode="0.0000"/>
    <numFmt numFmtId="167" formatCode="0.0%"/>
  </numFmts>
  <fonts count="23" x14ac:knownFonts="1">
    <font>
      <sz val="11"/>
      <color theme="1"/>
      <name val="Calibri"/>
      <family val="2"/>
      <scheme val="minor"/>
    </font>
    <font>
      <b/>
      <sz val="11"/>
      <color theme="1"/>
      <name val="Calibri"/>
      <family val="2"/>
      <scheme val="minor"/>
    </font>
    <font>
      <b/>
      <sz val="11"/>
      <color rgb="FF00B050"/>
      <name val="Calibri"/>
      <family val="2"/>
      <scheme val="minor"/>
    </font>
    <font>
      <b/>
      <vertAlign val="superscript"/>
      <sz val="11"/>
      <color rgb="FF00B050"/>
      <name val="Calibri"/>
      <family val="2"/>
      <scheme val="minor"/>
    </font>
    <font>
      <sz val="11"/>
      <name val="Calibri"/>
      <family val="2"/>
      <scheme val="minor"/>
    </font>
    <font>
      <b/>
      <sz val="11"/>
      <name val="Calibri"/>
      <family val="2"/>
      <scheme val="minor"/>
    </font>
    <font>
      <b/>
      <sz val="11"/>
      <color rgb="FF7030A0"/>
      <name val="Calibri"/>
      <family val="2"/>
      <scheme val="minor"/>
    </font>
    <font>
      <b/>
      <sz val="11"/>
      <color theme="0"/>
      <name val="Calibri"/>
      <family val="2"/>
      <scheme val="minor"/>
    </font>
    <font>
      <i/>
      <sz val="11"/>
      <color theme="1"/>
      <name val="Calibri"/>
      <family val="2"/>
      <scheme val="minor"/>
    </font>
    <font>
      <vertAlign val="superscript"/>
      <sz val="11"/>
      <name val="Calibri"/>
      <family val="2"/>
      <scheme val="minor"/>
    </font>
    <font>
      <i/>
      <vertAlign val="superscript"/>
      <sz val="11"/>
      <color theme="1"/>
      <name val="Calibri"/>
      <family val="2"/>
      <scheme val="minor"/>
    </font>
    <font>
      <sz val="9"/>
      <color theme="1"/>
      <name val="Calibri"/>
      <family val="2"/>
      <scheme val="minor"/>
    </font>
    <font>
      <sz val="11"/>
      <color theme="1"/>
      <name val="Calibri"/>
      <family val="2"/>
      <scheme val="minor"/>
    </font>
    <font>
      <vertAlign val="superscript"/>
      <sz val="11"/>
      <color theme="1"/>
      <name val="Calibri"/>
      <family val="2"/>
      <scheme val="minor"/>
    </font>
    <font>
      <sz val="8"/>
      <name val="Calibri"/>
      <family val="2"/>
      <scheme val="minor"/>
    </font>
    <font>
      <b/>
      <sz val="14"/>
      <color theme="1"/>
      <name val="Calibri"/>
      <family val="2"/>
      <scheme val="minor"/>
    </font>
    <font>
      <sz val="14"/>
      <color theme="1"/>
      <name val="Calibri"/>
      <family val="2"/>
      <scheme val="minor"/>
    </font>
    <font>
      <u/>
      <sz val="11"/>
      <color theme="1"/>
      <name val="Calibri"/>
      <family val="2"/>
      <scheme val="minor"/>
    </font>
    <font>
      <b/>
      <sz val="11"/>
      <color rgb="FFFF0000"/>
      <name val="Calibri"/>
      <family val="2"/>
      <scheme val="minor"/>
    </font>
    <font>
      <i/>
      <sz val="11"/>
      <name val="Calibri"/>
      <family val="2"/>
      <scheme val="minor"/>
    </font>
    <font>
      <b/>
      <sz val="18"/>
      <color theme="1"/>
      <name val="Calibri"/>
      <family val="2"/>
      <scheme val="minor"/>
    </font>
    <font>
      <sz val="8"/>
      <color theme="1"/>
      <name val="Calibri"/>
      <family val="2"/>
      <scheme val="minor"/>
    </font>
    <font>
      <sz val="11"/>
      <color rgb="FFFF0000"/>
      <name val="Calibri"/>
      <family val="2"/>
      <scheme val="minor"/>
    </font>
  </fonts>
  <fills count="12">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
      <patternFill patternType="solid">
        <fgColor theme="8" tint="0.59999389629810485"/>
        <bgColor indexed="64"/>
      </patternFill>
    </fill>
    <fill>
      <patternFill patternType="solid">
        <fgColor rgb="FF92D050"/>
        <bgColor indexed="64"/>
      </patternFill>
    </fill>
    <fill>
      <patternFill patternType="solid">
        <fgColor rgb="FF0070C0"/>
        <bgColor indexed="64"/>
      </patternFill>
    </fill>
    <fill>
      <patternFill patternType="solid">
        <fgColor theme="9" tint="0.59999389629810485"/>
        <bgColor indexed="64"/>
      </patternFill>
    </fill>
    <fill>
      <patternFill patternType="solid">
        <fgColor theme="4"/>
        <bgColor indexed="64"/>
      </patternFill>
    </fill>
    <fill>
      <patternFill patternType="solid">
        <fgColor rgb="FFFFFF00"/>
        <bgColor indexed="64"/>
      </patternFill>
    </fill>
    <fill>
      <patternFill patternType="solid">
        <fgColor theme="9" tint="0.39997558519241921"/>
        <bgColor indexed="64"/>
      </patternFill>
    </fill>
  </fills>
  <borders count="59">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medium">
        <color indexed="64"/>
      </left>
      <right style="medium">
        <color indexed="64"/>
      </right>
      <top style="thin">
        <color indexed="64"/>
      </top>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diagonal/>
    </border>
    <border>
      <left/>
      <right style="thin">
        <color indexed="64"/>
      </right>
      <top/>
      <bottom style="medium">
        <color indexed="64"/>
      </bottom>
      <diagonal/>
    </border>
    <border>
      <left/>
      <right style="thin">
        <color indexed="64"/>
      </right>
      <top style="medium">
        <color indexed="64"/>
      </top>
      <bottom style="medium">
        <color indexed="64"/>
      </bottom>
      <diagonal/>
    </border>
  </borders>
  <cellStyleXfs count="2">
    <xf numFmtId="0" fontId="0" fillId="0" borderId="0"/>
    <xf numFmtId="9" fontId="12" fillId="0" borderId="0" applyFont="0" applyFill="0" applyBorder="0" applyAlignment="0" applyProtection="0"/>
  </cellStyleXfs>
  <cellXfs count="272">
    <xf numFmtId="0" fontId="0" fillId="0" borderId="0" xfId="0"/>
    <xf numFmtId="0" fontId="0" fillId="0" borderId="0" xfId="0" applyAlignment="1">
      <alignment horizontal="center"/>
    </xf>
    <xf numFmtId="0" fontId="0" fillId="4" borderId="1" xfId="0" applyFill="1" applyBorder="1" applyAlignment="1">
      <alignment horizontal="center"/>
    </xf>
    <xf numFmtId="0" fontId="8" fillId="4" borderId="1" xfId="0" applyFont="1" applyFill="1" applyBorder="1" applyAlignment="1">
      <alignment horizontal="center"/>
    </xf>
    <xf numFmtId="2" fontId="8" fillId="4" borderId="1" xfId="0" applyNumberFormat="1" applyFont="1" applyFill="1" applyBorder="1" applyAlignment="1">
      <alignment horizontal="center"/>
    </xf>
    <xf numFmtId="0" fontId="2" fillId="4" borderId="1" xfId="0" applyFont="1" applyFill="1" applyBorder="1" applyAlignment="1">
      <alignment horizontal="center"/>
    </xf>
    <xf numFmtId="0" fontId="4" fillId="4" borderId="1" xfId="0" applyFont="1" applyFill="1" applyBorder="1" applyAlignment="1">
      <alignment horizontal="center"/>
    </xf>
    <xf numFmtId="2" fontId="2" fillId="4" borderId="1" xfId="0" applyNumberFormat="1" applyFont="1" applyFill="1" applyBorder="1" applyAlignment="1">
      <alignment horizontal="center"/>
    </xf>
    <xf numFmtId="164" fontId="4" fillId="4" borderId="1" xfId="0" applyNumberFormat="1" applyFont="1" applyFill="1" applyBorder="1" applyAlignment="1">
      <alignment horizontal="center"/>
    </xf>
    <xf numFmtId="2" fontId="4" fillId="4" borderId="1" xfId="0" applyNumberFormat="1" applyFont="1" applyFill="1" applyBorder="1" applyAlignment="1">
      <alignment horizontal="center"/>
    </xf>
    <xf numFmtId="164" fontId="6" fillId="4" borderId="1" xfId="0" applyNumberFormat="1" applyFont="1" applyFill="1" applyBorder="1" applyAlignment="1">
      <alignment horizontal="center"/>
    </xf>
    <xf numFmtId="2" fontId="6" fillId="4" borderId="1" xfId="0" applyNumberFormat="1" applyFont="1" applyFill="1" applyBorder="1" applyAlignment="1">
      <alignment horizontal="center"/>
    </xf>
    <xf numFmtId="0" fontId="0" fillId="4" borderId="2" xfId="0" applyFill="1" applyBorder="1"/>
    <xf numFmtId="0" fontId="0" fillId="4" borderId="3" xfId="0" applyFill="1" applyBorder="1"/>
    <xf numFmtId="0" fontId="8" fillId="4" borderId="2" xfId="0" applyFont="1" applyFill="1" applyBorder="1"/>
    <xf numFmtId="0" fontId="2" fillId="4" borderId="2" xfId="0" applyFont="1" applyFill="1" applyBorder="1"/>
    <xf numFmtId="0" fontId="4" fillId="4" borderId="3" xfId="0" applyFont="1" applyFill="1" applyBorder="1"/>
    <xf numFmtId="0" fontId="6" fillId="4" borderId="2" xfId="0" applyFont="1" applyFill="1" applyBorder="1"/>
    <xf numFmtId="0" fontId="6" fillId="4" borderId="4" xfId="0" applyFont="1" applyFill="1" applyBorder="1"/>
    <xf numFmtId="2" fontId="6" fillId="4" borderId="5" xfId="0" applyNumberFormat="1" applyFont="1" applyFill="1" applyBorder="1" applyAlignment="1">
      <alignment horizontal="center"/>
    </xf>
    <xf numFmtId="2" fontId="4" fillId="4" borderId="5" xfId="0" applyNumberFormat="1" applyFont="1" applyFill="1" applyBorder="1" applyAlignment="1">
      <alignment horizontal="center"/>
    </xf>
    <xf numFmtId="0" fontId="0" fillId="4" borderId="6" xfId="0" applyFill="1" applyBorder="1"/>
    <xf numFmtId="0" fontId="8" fillId="4" borderId="4" xfId="0" applyFont="1" applyFill="1" applyBorder="1"/>
    <xf numFmtId="0" fontId="2" fillId="4" borderId="4" xfId="0" applyFont="1" applyFill="1" applyBorder="1"/>
    <xf numFmtId="0" fontId="4" fillId="4" borderId="2" xfId="0" applyFont="1" applyFill="1" applyBorder="1"/>
    <xf numFmtId="0" fontId="0" fillId="4" borderId="7" xfId="0" applyFill="1" applyBorder="1"/>
    <xf numFmtId="0" fontId="0" fillId="4" borderId="8" xfId="0" applyFill="1" applyBorder="1" applyAlignment="1">
      <alignment horizontal="center"/>
    </xf>
    <xf numFmtId="0" fontId="0" fillId="4" borderId="9" xfId="0" applyFill="1" applyBorder="1"/>
    <xf numFmtId="0" fontId="4" fillId="4" borderId="8" xfId="0" applyFont="1" applyFill="1" applyBorder="1" applyAlignment="1">
      <alignment horizontal="center"/>
    </xf>
    <xf numFmtId="0" fontId="1" fillId="2" borderId="10" xfId="0" applyFont="1" applyFill="1" applyBorder="1" applyAlignment="1">
      <alignment horizontal="center"/>
    </xf>
    <xf numFmtId="0" fontId="1" fillId="2" borderId="11" xfId="0" applyFont="1" applyFill="1" applyBorder="1" applyAlignment="1">
      <alignment horizontal="center"/>
    </xf>
    <xf numFmtId="0" fontId="1" fillId="2" borderId="12" xfId="0" applyFont="1" applyFill="1" applyBorder="1" applyAlignment="1">
      <alignment horizontal="center"/>
    </xf>
    <xf numFmtId="165" fontId="2" fillId="4" borderId="1" xfId="0" applyNumberFormat="1" applyFont="1" applyFill="1" applyBorder="1" applyAlignment="1">
      <alignment horizontal="center"/>
    </xf>
    <xf numFmtId="0" fontId="0" fillId="4" borderId="13" xfId="0" applyFill="1" applyBorder="1"/>
    <xf numFmtId="0" fontId="11" fillId="0" borderId="0" xfId="0" applyFont="1"/>
    <xf numFmtId="0" fontId="11" fillId="0" borderId="0" xfId="0" applyFont="1" applyAlignment="1">
      <alignment horizontal="center"/>
    </xf>
    <xf numFmtId="14" fontId="11" fillId="0" borderId="0" xfId="0" applyNumberFormat="1" applyFont="1" applyAlignment="1">
      <alignment horizontal="center"/>
    </xf>
    <xf numFmtId="2" fontId="0" fillId="0" borderId="18" xfId="0" applyNumberFormat="1" applyBorder="1"/>
    <xf numFmtId="0" fontId="0" fillId="0" borderId="0" xfId="0" applyAlignment="1">
      <alignment horizontal="right"/>
    </xf>
    <xf numFmtId="1" fontId="0" fillId="0" borderId="18" xfId="0" applyNumberFormat="1" applyBorder="1"/>
    <xf numFmtId="0" fontId="0" fillId="0" borderId="18" xfId="0" applyBorder="1"/>
    <xf numFmtId="2" fontId="0" fillId="0" borderId="0" xfId="0" applyNumberFormat="1"/>
    <xf numFmtId="2" fontId="0" fillId="0" borderId="20" xfId="0" applyNumberFormat="1" applyBorder="1"/>
    <xf numFmtId="0" fontId="0" fillId="0" borderId="22" xfId="0" applyBorder="1"/>
    <xf numFmtId="2" fontId="0" fillId="0" borderId="22" xfId="0" applyNumberFormat="1" applyBorder="1"/>
    <xf numFmtId="2" fontId="0" fillId="0" borderId="23" xfId="0" applyNumberFormat="1" applyBorder="1"/>
    <xf numFmtId="0" fontId="0" fillId="0" borderId="18" xfId="0" applyBorder="1" applyAlignment="1">
      <alignment horizontal="center"/>
    </xf>
    <xf numFmtId="0" fontId="0" fillId="0" borderId="14" xfId="0" applyBorder="1" applyAlignment="1">
      <alignment horizontal="center"/>
    </xf>
    <xf numFmtId="0" fontId="0" fillId="0" borderId="15" xfId="0" applyBorder="1" applyAlignment="1">
      <alignment horizontal="center"/>
    </xf>
    <xf numFmtId="0" fontId="0" fillId="0" borderId="16" xfId="0" applyBorder="1" applyAlignment="1">
      <alignment horizontal="center"/>
    </xf>
    <xf numFmtId="0" fontId="0" fillId="0" borderId="21" xfId="0" applyBorder="1" applyAlignment="1">
      <alignment horizontal="center"/>
    </xf>
    <xf numFmtId="0" fontId="0" fillId="0" borderId="24" xfId="0" applyBorder="1" applyAlignment="1">
      <alignment horizontal="center"/>
    </xf>
    <xf numFmtId="2" fontId="0" fillId="0" borderId="17" xfId="0" applyNumberFormat="1" applyBorder="1"/>
    <xf numFmtId="2" fontId="0" fillId="0" borderId="19" xfId="0" applyNumberFormat="1" applyBorder="1"/>
    <xf numFmtId="9" fontId="0" fillId="0" borderId="16" xfId="1" applyFont="1" applyBorder="1"/>
    <xf numFmtId="0" fontId="0" fillId="6" borderId="18" xfId="0" applyFill="1" applyBorder="1" applyAlignment="1">
      <alignment horizontal="center"/>
    </xf>
    <xf numFmtId="2" fontId="0" fillId="6" borderId="0" xfId="0" applyNumberFormat="1" applyFill="1"/>
    <xf numFmtId="2" fontId="0" fillId="6" borderId="20" xfId="0" applyNumberFormat="1" applyFill="1" applyBorder="1"/>
    <xf numFmtId="0" fontId="7" fillId="7" borderId="1" xfId="0" applyFont="1" applyFill="1" applyBorder="1" applyAlignment="1">
      <alignment horizontal="center"/>
    </xf>
    <xf numFmtId="166" fontId="0" fillId="0" borderId="18" xfId="0" applyNumberFormat="1" applyBorder="1"/>
    <xf numFmtId="0" fontId="2" fillId="4" borderId="25" xfId="0" applyFont="1" applyFill="1" applyBorder="1"/>
    <xf numFmtId="2" fontId="2" fillId="4" borderId="26" xfId="0" applyNumberFormat="1" applyFont="1" applyFill="1" applyBorder="1" applyAlignment="1">
      <alignment horizontal="center"/>
    </xf>
    <xf numFmtId="0" fontId="4" fillId="4" borderId="26" xfId="0" applyFont="1" applyFill="1" applyBorder="1" applyAlignment="1">
      <alignment horizontal="center"/>
    </xf>
    <xf numFmtId="0" fontId="0" fillId="4" borderId="27" xfId="0" applyFill="1" applyBorder="1"/>
    <xf numFmtId="0" fontId="5" fillId="3" borderId="28" xfId="0" applyFont="1" applyFill="1" applyBorder="1" applyAlignment="1">
      <alignment horizontal="center"/>
    </xf>
    <xf numFmtId="0" fontId="0" fillId="4" borderId="29" xfId="0" applyFill="1" applyBorder="1"/>
    <xf numFmtId="0" fontId="7" fillId="7" borderId="30" xfId="0" applyFont="1" applyFill="1" applyBorder="1" applyAlignment="1">
      <alignment horizontal="center"/>
    </xf>
    <xf numFmtId="0" fontId="0" fillId="4" borderId="30" xfId="0" applyFill="1" applyBorder="1" applyAlignment="1">
      <alignment horizontal="center"/>
    </xf>
    <xf numFmtId="0" fontId="0" fillId="4" borderId="31" xfId="0" applyFill="1" applyBorder="1"/>
    <xf numFmtId="0" fontId="0" fillId="0" borderId="5" xfId="0" applyBorder="1" applyAlignment="1">
      <alignment horizontal="center"/>
    </xf>
    <xf numFmtId="0" fontId="0" fillId="0" borderId="6" xfId="0" applyBorder="1"/>
    <xf numFmtId="0" fontId="2" fillId="4" borderId="29" xfId="0" applyFont="1" applyFill="1" applyBorder="1"/>
    <xf numFmtId="0" fontId="2" fillId="4" borderId="30" xfId="0" applyFont="1" applyFill="1" applyBorder="1" applyAlignment="1">
      <alignment horizontal="center"/>
    </xf>
    <xf numFmtId="0" fontId="4" fillId="4" borderId="30" xfId="0" applyFont="1" applyFill="1" applyBorder="1" applyAlignment="1">
      <alignment horizontal="center"/>
    </xf>
    <xf numFmtId="0" fontId="5" fillId="2" borderId="10" xfId="0" applyFont="1" applyFill="1" applyBorder="1" applyAlignment="1">
      <alignment horizontal="center"/>
    </xf>
    <xf numFmtId="0" fontId="5" fillId="2" borderId="11" xfId="0" applyFont="1" applyFill="1" applyBorder="1" applyAlignment="1">
      <alignment horizontal="center"/>
    </xf>
    <xf numFmtId="0" fontId="5" fillId="2" borderId="12" xfId="0" applyFont="1" applyFill="1" applyBorder="1" applyAlignment="1">
      <alignment horizontal="center"/>
    </xf>
    <xf numFmtId="164" fontId="8" fillId="0" borderId="5" xfId="0" applyNumberFormat="1" applyFont="1" applyBorder="1" applyAlignment="1">
      <alignment horizontal="center"/>
    </xf>
    <xf numFmtId="0" fontId="8" fillId="0" borderId="5" xfId="0" applyFont="1" applyBorder="1" applyAlignment="1">
      <alignment horizontal="center"/>
    </xf>
    <xf numFmtId="0" fontId="1" fillId="3" borderId="32" xfId="0" applyFont="1" applyFill="1" applyBorder="1" applyAlignment="1">
      <alignment horizontal="center"/>
    </xf>
    <xf numFmtId="0" fontId="1" fillId="3" borderId="28" xfId="0" applyFont="1" applyFill="1" applyBorder="1" applyAlignment="1">
      <alignment horizontal="center"/>
    </xf>
    <xf numFmtId="0" fontId="1" fillId="3" borderId="13" xfId="0" applyFont="1" applyFill="1" applyBorder="1" applyAlignment="1">
      <alignment horizontal="center"/>
    </xf>
    <xf numFmtId="1" fontId="0" fillId="0" borderId="21" xfId="0" applyNumberFormat="1" applyBorder="1"/>
    <xf numFmtId="0" fontId="0" fillId="0" borderId="17" xfId="0" applyBorder="1" applyAlignment="1">
      <alignment horizontal="right"/>
    </xf>
    <xf numFmtId="0" fontId="0" fillId="0" borderId="19" xfId="0" applyBorder="1" applyAlignment="1">
      <alignment horizontal="right"/>
    </xf>
    <xf numFmtId="0" fontId="0" fillId="0" borderId="20" xfId="0" applyBorder="1" applyAlignment="1">
      <alignment horizontal="right"/>
    </xf>
    <xf numFmtId="165" fontId="8" fillId="4" borderId="1" xfId="0" applyNumberFormat="1" applyFont="1" applyFill="1" applyBorder="1" applyAlignment="1">
      <alignment horizontal="center"/>
    </xf>
    <xf numFmtId="166" fontId="8" fillId="4" borderId="1" xfId="0" applyNumberFormat="1" applyFont="1" applyFill="1" applyBorder="1" applyAlignment="1">
      <alignment horizontal="center"/>
    </xf>
    <xf numFmtId="0" fontId="0" fillId="0" borderId="20" xfId="0" applyBorder="1"/>
    <xf numFmtId="166" fontId="0" fillId="0" borderId="0" xfId="0" applyNumberFormat="1"/>
    <xf numFmtId="0" fontId="0" fillId="0" borderId="20" xfId="0" applyBorder="1" applyAlignment="1">
      <alignment horizontal="center"/>
    </xf>
    <xf numFmtId="165" fontId="0" fillId="0" borderId="0" xfId="0" applyNumberFormat="1"/>
    <xf numFmtId="0" fontId="0" fillId="0" borderId="23" xfId="0" applyBorder="1" applyAlignment="1">
      <alignment horizontal="center"/>
    </xf>
    <xf numFmtId="0" fontId="17" fillId="4" borderId="3" xfId="0" applyFont="1" applyFill="1" applyBorder="1"/>
    <xf numFmtId="0" fontId="7" fillId="7" borderId="0" xfId="0" applyFont="1" applyFill="1"/>
    <xf numFmtId="2" fontId="18" fillId="0" borderId="0" xfId="0" applyNumberFormat="1" applyFont="1"/>
    <xf numFmtId="2" fontId="6" fillId="0" borderId="0" xfId="0" applyNumberFormat="1" applyFont="1"/>
    <xf numFmtId="2" fontId="2" fillId="0" borderId="0" xfId="0" applyNumberFormat="1" applyFont="1"/>
    <xf numFmtId="2" fontId="7" fillId="7" borderId="0" xfId="0" applyNumberFormat="1" applyFont="1" applyFill="1"/>
    <xf numFmtId="9" fontId="7" fillId="7" borderId="1" xfId="1" applyFont="1" applyFill="1" applyBorder="1" applyAlignment="1">
      <alignment horizontal="center"/>
    </xf>
    <xf numFmtId="2" fontId="19" fillId="4" borderId="1" xfId="0" applyNumberFormat="1" applyFont="1" applyFill="1" applyBorder="1" applyAlignment="1">
      <alignment horizontal="center"/>
    </xf>
    <xf numFmtId="2" fontId="19" fillId="0" borderId="1" xfId="0" applyNumberFormat="1" applyFont="1" applyBorder="1" applyAlignment="1">
      <alignment horizontal="center"/>
    </xf>
    <xf numFmtId="0" fontId="0" fillId="9" borderId="0" xfId="0" applyFill="1" applyAlignment="1">
      <alignment horizontal="center"/>
    </xf>
    <xf numFmtId="0" fontId="0" fillId="4" borderId="0" xfId="0" applyFill="1"/>
    <xf numFmtId="167" fontId="20" fillId="4" borderId="36" xfId="1" applyNumberFormat="1" applyFont="1" applyFill="1" applyBorder="1" applyAlignment="1">
      <alignment horizontal="center" vertical="center"/>
    </xf>
    <xf numFmtId="164" fontId="0" fillId="0" borderId="6" xfId="0" applyNumberFormat="1" applyBorder="1"/>
    <xf numFmtId="164" fontId="0" fillId="0" borderId="5" xfId="0" applyNumberFormat="1" applyBorder="1"/>
    <xf numFmtId="164" fontId="0" fillId="10" borderId="5" xfId="0" applyNumberFormat="1" applyFill="1" applyBorder="1"/>
    <xf numFmtId="164" fontId="0" fillId="0" borderId="39" xfId="0" applyNumberFormat="1" applyBorder="1"/>
    <xf numFmtId="164" fontId="0" fillId="0" borderId="3" xfId="0" applyNumberFormat="1" applyBorder="1"/>
    <xf numFmtId="164" fontId="0" fillId="0" borderId="1" xfId="0" applyNumberFormat="1" applyBorder="1"/>
    <xf numFmtId="164" fontId="0" fillId="10" borderId="1" xfId="0" applyNumberFormat="1" applyFill="1" applyBorder="1"/>
    <xf numFmtId="164" fontId="0" fillId="0" borderId="40" xfId="0" applyNumberFormat="1" applyBorder="1"/>
    <xf numFmtId="164" fontId="0" fillId="10" borderId="3" xfId="0" applyNumberFormat="1" applyFill="1" applyBorder="1"/>
    <xf numFmtId="164" fontId="0" fillId="10" borderId="40" xfId="0" applyNumberFormat="1" applyFill="1" applyBorder="1"/>
    <xf numFmtId="9" fontId="0" fillId="0" borderId="0" xfId="1" applyFont="1"/>
    <xf numFmtId="167" fontId="0" fillId="0" borderId="0" xfId="1" applyNumberFormat="1" applyFont="1"/>
    <xf numFmtId="2" fontId="0" fillId="0" borderId="6" xfId="0" applyNumberFormat="1" applyBorder="1" applyAlignment="1">
      <alignment horizontal="center"/>
    </xf>
    <xf numFmtId="2" fontId="0" fillId="0" borderId="5" xfId="0" applyNumberFormat="1" applyBorder="1" applyAlignment="1">
      <alignment horizontal="center"/>
    </xf>
    <xf numFmtId="0" fontId="0" fillId="3" borderId="4" xfId="0" applyFill="1" applyBorder="1"/>
    <xf numFmtId="2" fontId="0" fillId="0" borderId="3" xfId="0" applyNumberFormat="1" applyBorder="1" applyAlignment="1">
      <alignment horizontal="center"/>
    </xf>
    <xf numFmtId="2" fontId="0" fillId="0" borderId="1" xfId="0" applyNumberFormat="1" applyBorder="1" applyAlignment="1">
      <alignment horizontal="center"/>
    </xf>
    <xf numFmtId="0" fontId="0" fillId="3" borderId="2" xfId="0" applyFill="1" applyBorder="1"/>
    <xf numFmtId="2" fontId="0" fillId="0" borderId="31" xfId="0" applyNumberFormat="1" applyBorder="1" applyAlignment="1">
      <alignment horizontal="center"/>
    </xf>
    <xf numFmtId="2" fontId="0" fillId="0" borderId="30" xfId="0" applyNumberFormat="1" applyBorder="1" applyAlignment="1">
      <alignment horizontal="center"/>
    </xf>
    <xf numFmtId="0" fontId="0" fillId="3" borderId="29" xfId="0" applyFill="1" applyBorder="1"/>
    <xf numFmtId="0" fontId="0" fillId="3" borderId="27" xfId="0" applyFill="1" applyBorder="1" applyAlignment="1">
      <alignment horizontal="center"/>
    </xf>
    <xf numFmtId="0" fontId="0" fillId="3" borderId="26" xfId="0" applyFill="1" applyBorder="1" applyAlignment="1">
      <alignment horizontal="center"/>
    </xf>
    <xf numFmtId="0" fontId="1" fillId="3" borderId="41" xfId="0" applyFont="1" applyFill="1" applyBorder="1" applyAlignment="1">
      <alignment horizontal="center"/>
    </xf>
    <xf numFmtId="0" fontId="1" fillId="3" borderId="25" xfId="0" applyFont="1" applyFill="1" applyBorder="1" applyAlignment="1">
      <alignment horizontal="center"/>
    </xf>
    <xf numFmtId="0" fontId="1" fillId="0" borderId="42" xfId="0" applyFont="1" applyBorder="1" applyAlignment="1">
      <alignment horizontal="center"/>
    </xf>
    <xf numFmtId="0" fontId="1" fillId="0" borderId="0" xfId="0" applyFont="1" applyAlignment="1">
      <alignment horizontal="center"/>
    </xf>
    <xf numFmtId="0" fontId="1" fillId="0" borderId="31" xfId="0" applyFont="1" applyBorder="1" applyAlignment="1">
      <alignment horizontal="center"/>
    </xf>
    <xf numFmtId="0" fontId="1" fillId="0" borderId="30" xfId="0" applyFont="1" applyBorder="1" applyAlignment="1">
      <alignment horizontal="center"/>
    </xf>
    <xf numFmtId="0" fontId="1" fillId="0" borderId="43" xfId="0" applyFont="1" applyBorder="1" applyAlignment="1">
      <alignment horizontal="center"/>
    </xf>
    <xf numFmtId="0" fontId="1" fillId="0" borderId="29" xfId="0" applyFont="1" applyBorder="1" applyAlignment="1">
      <alignment horizontal="center"/>
    </xf>
    <xf numFmtId="0" fontId="0" fillId="0" borderId="44" xfId="0" applyBorder="1"/>
    <xf numFmtId="0" fontId="1" fillId="0" borderId="0" xfId="0" quotePrefix="1" applyFont="1" applyAlignment="1">
      <alignment horizontal="center"/>
    </xf>
    <xf numFmtId="0" fontId="1" fillId="0" borderId="0" xfId="0" applyFont="1" applyAlignment="1">
      <alignment horizontal="left"/>
    </xf>
    <xf numFmtId="0" fontId="0" fillId="2" borderId="45" xfId="0" applyFill="1" applyBorder="1" applyAlignment="1">
      <alignment horizontal="center"/>
    </xf>
    <xf numFmtId="0" fontId="0" fillId="2" borderId="46" xfId="0" applyFill="1" applyBorder="1" applyAlignment="1">
      <alignment horizontal="center"/>
    </xf>
    <xf numFmtId="0" fontId="0" fillId="2" borderId="47" xfId="0" applyFill="1" applyBorder="1" applyAlignment="1">
      <alignment horizontal="center"/>
    </xf>
    <xf numFmtId="0" fontId="1" fillId="4" borderId="16" xfId="0" applyFont="1" applyFill="1" applyBorder="1" applyAlignment="1">
      <alignment horizontal="right"/>
    </xf>
    <xf numFmtId="0" fontId="0" fillId="2" borderId="29" xfId="0" applyFill="1" applyBorder="1" applyAlignment="1">
      <alignment horizontal="center"/>
    </xf>
    <xf numFmtId="0" fontId="0" fillId="2" borderId="30" xfId="0" applyFill="1" applyBorder="1" applyAlignment="1">
      <alignment horizontal="center"/>
    </xf>
    <xf numFmtId="0" fontId="0" fillId="2" borderId="31" xfId="0" applyFill="1" applyBorder="1" applyAlignment="1">
      <alignment horizontal="center"/>
    </xf>
    <xf numFmtId="164" fontId="0" fillId="0" borderId="2" xfId="0" applyNumberFormat="1" applyBorder="1"/>
    <xf numFmtId="164" fontId="0" fillId="10" borderId="2" xfId="0" applyNumberFormat="1" applyFill="1" applyBorder="1"/>
    <xf numFmtId="164" fontId="0" fillId="0" borderId="4" xfId="0" applyNumberFormat="1" applyBorder="1"/>
    <xf numFmtId="0" fontId="0" fillId="2" borderId="43" xfId="0" applyFill="1" applyBorder="1" applyAlignment="1">
      <alignment horizontal="center"/>
    </xf>
    <xf numFmtId="164" fontId="0" fillId="0" borderId="48" xfId="0" applyNumberFormat="1" applyBorder="1"/>
    <xf numFmtId="164" fontId="0" fillId="10" borderId="48" xfId="0" applyNumberFormat="1" applyFill="1" applyBorder="1"/>
    <xf numFmtId="164" fontId="0" fillId="0" borderId="49" xfId="0" applyNumberFormat="1" applyBorder="1"/>
    <xf numFmtId="0" fontId="0" fillId="2" borderId="35" xfId="0" applyFill="1" applyBorder="1" applyAlignment="1">
      <alignment horizontal="center"/>
    </xf>
    <xf numFmtId="0" fontId="0" fillId="2" borderId="44" xfId="0" applyFill="1" applyBorder="1" applyAlignment="1">
      <alignment horizontal="center"/>
    </xf>
    <xf numFmtId="164" fontId="0" fillId="0" borderId="34" xfId="0" applyNumberFormat="1" applyBorder="1"/>
    <xf numFmtId="164" fontId="0" fillId="10" borderId="34" xfId="0" applyNumberFormat="1" applyFill="1" applyBorder="1"/>
    <xf numFmtId="164" fontId="0" fillId="0" borderId="33" xfId="0" applyNumberFormat="1" applyBorder="1"/>
    <xf numFmtId="0" fontId="1" fillId="4" borderId="50" xfId="0" applyFont="1" applyFill="1" applyBorder="1" applyAlignment="1">
      <alignment horizontal="center"/>
    </xf>
    <xf numFmtId="0" fontId="1" fillId="4" borderId="37" xfId="0" applyFont="1" applyFill="1" applyBorder="1" applyAlignment="1">
      <alignment horizontal="center"/>
    </xf>
    <xf numFmtId="0" fontId="21" fillId="0" borderId="0" xfId="0" applyFont="1" applyAlignment="1">
      <alignment horizontal="center"/>
    </xf>
    <xf numFmtId="2" fontId="0" fillId="0" borderId="1" xfId="0" applyNumberFormat="1" applyBorder="1"/>
    <xf numFmtId="0" fontId="0" fillId="0" borderId="17" xfId="0" applyBorder="1" applyAlignment="1">
      <alignment horizontal="center"/>
    </xf>
    <xf numFmtId="9" fontId="0" fillId="0" borderId="19" xfId="1" applyFont="1" applyBorder="1"/>
    <xf numFmtId="0" fontId="0" fillId="0" borderId="2" xfId="0" applyBorder="1" applyAlignment="1">
      <alignment horizontal="center"/>
    </xf>
    <xf numFmtId="2" fontId="0" fillId="0" borderId="3" xfId="0" applyNumberFormat="1" applyBorder="1"/>
    <xf numFmtId="0" fontId="0" fillId="0" borderId="4" xfId="0" applyBorder="1" applyAlignment="1">
      <alignment horizontal="center"/>
    </xf>
    <xf numFmtId="2" fontId="0" fillId="0" borderId="5" xfId="0" applyNumberFormat="1" applyBorder="1"/>
    <xf numFmtId="2" fontId="0" fillId="0" borderId="6" xfId="0" applyNumberFormat="1" applyBorder="1"/>
    <xf numFmtId="0" fontId="0" fillId="0" borderId="7" xfId="0" applyBorder="1" applyAlignment="1">
      <alignment horizontal="center"/>
    </xf>
    <xf numFmtId="2" fontId="0" fillId="0" borderId="8" xfId="0" applyNumberFormat="1" applyBorder="1"/>
    <xf numFmtId="2" fontId="0" fillId="0" borderId="9" xfId="0" applyNumberFormat="1" applyBorder="1"/>
    <xf numFmtId="0" fontId="0" fillId="0" borderId="6" xfId="0" applyBorder="1" applyAlignment="1">
      <alignment horizontal="center"/>
    </xf>
    <xf numFmtId="0" fontId="0" fillId="0" borderId="25" xfId="0" applyBorder="1" applyAlignment="1">
      <alignment horizontal="center"/>
    </xf>
    <xf numFmtId="2" fontId="0" fillId="0" borderId="26" xfId="0" applyNumberFormat="1" applyBorder="1"/>
    <xf numFmtId="2" fontId="0" fillId="0" borderId="27" xfId="0" applyNumberFormat="1" applyBorder="1"/>
    <xf numFmtId="0" fontId="0" fillId="0" borderId="51" xfId="0" applyBorder="1" applyAlignment="1">
      <alignment horizontal="center"/>
    </xf>
    <xf numFmtId="167" fontId="0" fillId="0" borderId="52" xfId="0" applyNumberFormat="1" applyBorder="1"/>
    <xf numFmtId="0" fontId="0" fillId="6" borderId="10" xfId="0" applyFill="1" applyBorder="1" applyAlignment="1">
      <alignment horizontal="center"/>
    </xf>
    <xf numFmtId="2" fontId="0" fillId="6" borderId="11" xfId="0" applyNumberFormat="1" applyFill="1" applyBorder="1"/>
    <xf numFmtId="2" fontId="0" fillId="6" borderId="12" xfId="0" applyNumberFormat="1" applyFill="1" applyBorder="1"/>
    <xf numFmtId="0" fontId="7" fillId="7" borderId="9" xfId="0" applyFont="1" applyFill="1" applyBorder="1"/>
    <xf numFmtId="0" fontId="7" fillId="7" borderId="3" xfId="0" applyFont="1" applyFill="1" applyBorder="1"/>
    <xf numFmtId="164" fontId="2" fillId="0" borderId="3" xfId="0" applyNumberFormat="1" applyFont="1" applyBorder="1"/>
    <xf numFmtId="167" fontId="2" fillId="0" borderId="3" xfId="1" applyNumberFormat="1" applyFont="1" applyBorder="1"/>
    <xf numFmtId="167" fontId="2" fillId="0" borderId="6" xfId="0" applyNumberFormat="1" applyFont="1" applyBorder="1"/>
    <xf numFmtId="0" fontId="4" fillId="10" borderId="1" xfId="0" applyFont="1" applyFill="1" applyBorder="1" applyAlignment="1">
      <alignment horizontal="center"/>
    </xf>
    <xf numFmtId="0" fontId="0" fillId="2" borderId="53" xfId="0" applyFill="1" applyBorder="1" applyAlignment="1">
      <alignment horizontal="center"/>
    </xf>
    <xf numFmtId="164" fontId="0" fillId="0" borderId="54" xfId="0" applyNumberFormat="1" applyBorder="1"/>
    <xf numFmtId="164" fontId="0" fillId="10" borderId="54" xfId="0" applyNumberFormat="1" applyFill="1" applyBorder="1"/>
    <xf numFmtId="164" fontId="0" fillId="0" borderId="55" xfId="0" applyNumberFormat="1" applyBorder="1"/>
    <xf numFmtId="0" fontId="0" fillId="0" borderId="45" xfId="0" applyBorder="1" applyAlignment="1">
      <alignment horizontal="center"/>
    </xf>
    <xf numFmtId="0" fontId="0" fillId="0" borderId="46" xfId="0" applyBorder="1" applyAlignment="1">
      <alignment horizontal="center"/>
    </xf>
    <xf numFmtId="0" fontId="0" fillId="0" borderId="56" xfId="0" applyBorder="1" applyAlignment="1">
      <alignment horizontal="center"/>
    </xf>
    <xf numFmtId="0" fontId="0" fillId="0" borderId="57" xfId="0" applyBorder="1" applyAlignment="1">
      <alignment horizontal="center"/>
    </xf>
    <xf numFmtId="164" fontId="0" fillId="0" borderId="0" xfId="0" applyNumberFormat="1"/>
    <xf numFmtId="1" fontId="0" fillId="0" borderId="0" xfId="0" applyNumberFormat="1"/>
    <xf numFmtId="0" fontId="1" fillId="0" borderId="0" xfId="0" applyFont="1"/>
    <xf numFmtId="164" fontId="0" fillId="0" borderId="0" xfId="0" applyNumberFormat="1" applyAlignment="1">
      <alignment horizontal="center"/>
    </xf>
    <xf numFmtId="0" fontId="0" fillId="11" borderId="0" xfId="0" applyFill="1"/>
    <xf numFmtId="0" fontId="0" fillId="11" borderId="0" xfId="0" applyFill="1" applyAlignment="1">
      <alignment horizontal="center"/>
    </xf>
    <xf numFmtId="164" fontId="0" fillId="11" borderId="0" xfId="0" applyNumberFormat="1" applyFill="1" applyAlignment="1">
      <alignment horizontal="center"/>
    </xf>
    <xf numFmtId="164" fontId="0" fillId="11" borderId="0" xfId="0" applyNumberFormat="1" applyFill="1"/>
    <xf numFmtId="2" fontId="0" fillId="11" borderId="0" xfId="0" applyNumberFormat="1" applyFill="1"/>
    <xf numFmtId="0" fontId="0" fillId="0" borderId="0" xfId="0" applyAlignment="1">
      <alignment horizontal="left"/>
    </xf>
    <xf numFmtId="0" fontId="0" fillId="4" borderId="32" xfId="0" applyFill="1" applyBorder="1"/>
    <xf numFmtId="0" fontId="0" fillId="4" borderId="28" xfId="0" applyFill="1" applyBorder="1" applyAlignment="1">
      <alignment horizontal="center"/>
    </xf>
    <xf numFmtId="0" fontId="4" fillId="4" borderId="28" xfId="0" applyFont="1" applyFill="1" applyBorder="1" applyAlignment="1">
      <alignment horizontal="center"/>
    </xf>
    <xf numFmtId="2" fontId="8" fillId="0" borderId="5" xfId="0" applyNumberFormat="1" applyFont="1" applyBorder="1" applyAlignment="1">
      <alignment horizontal="center"/>
    </xf>
    <xf numFmtId="0" fontId="18" fillId="2" borderId="11" xfId="0" applyFont="1" applyFill="1" applyBorder="1" applyAlignment="1">
      <alignment horizontal="center"/>
    </xf>
    <xf numFmtId="0" fontId="18" fillId="2" borderId="12" xfId="0" applyFont="1" applyFill="1" applyBorder="1" applyAlignment="1">
      <alignment horizontal="center"/>
    </xf>
    <xf numFmtId="9" fontId="2" fillId="4" borderId="1" xfId="1" applyFont="1" applyFill="1" applyBorder="1" applyAlignment="1">
      <alignment horizontal="center"/>
    </xf>
    <xf numFmtId="0" fontId="4" fillId="0" borderId="1" xfId="0" applyFont="1" applyBorder="1" applyAlignment="1">
      <alignment horizontal="center"/>
    </xf>
    <xf numFmtId="0" fontId="1" fillId="3" borderId="10" xfId="0" applyFont="1" applyFill="1" applyBorder="1" applyAlignment="1">
      <alignment horizontal="center"/>
    </xf>
    <xf numFmtId="0" fontId="5" fillId="3" borderId="11" xfId="0" applyFont="1" applyFill="1" applyBorder="1" applyAlignment="1">
      <alignment horizontal="center"/>
    </xf>
    <xf numFmtId="0" fontId="1" fillId="3" borderId="11" xfId="0" applyFont="1" applyFill="1" applyBorder="1" applyAlignment="1">
      <alignment horizontal="center"/>
    </xf>
    <xf numFmtId="0" fontId="1" fillId="3" borderId="12" xfId="0" applyFont="1" applyFill="1" applyBorder="1" applyAlignment="1">
      <alignment horizontal="center"/>
    </xf>
    <xf numFmtId="0" fontId="0" fillId="4" borderId="7" xfId="0" applyFill="1" applyBorder="1" applyAlignment="1">
      <alignment horizontal="left" vertical="center"/>
    </xf>
    <xf numFmtId="0" fontId="0" fillId="0" borderId="8" xfId="0" applyBorder="1" applyAlignment="1">
      <alignment horizontal="center" vertical="center"/>
    </xf>
    <xf numFmtId="0" fontId="0" fillId="4" borderId="9" xfId="0" applyFill="1" applyBorder="1" applyAlignment="1">
      <alignment horizontal="center" vertical="center"/>
    </xf>
    <xf numFmtId="0" fontId="0" fillId="4" borderId="2" xfId="0" applyFill="1" applyBorder="1" applyAlignment="1">
      <alignment horizontal="left" vertical="center"/>
    </xf>
    <xf numFmtId="0" fontId="0" fillId="0" borderId="1" xfId="0" applyBorder="1" applyAlignment="1">
      <alignment horizontal="center" vertical="center"/>
    </xf>
    <xf numFmtId="0" fontId="0" fillId="4" borderId="3" xfId="0" applyFill="1" applyBorder="1" applyAlignment="1">
      <alignment horizontal="center" vertical="center"/>
    </xf>
    <xf numFmtId="0" fontId="0" fillId="4" borderId="1" xfId="0" applyFill="1" applyBorder="1" applyAlignment="1">
      <alignment horizontal="center" vertical="center"/>
    </xf>
    <xf numFmtId="0" fontId="0" fillId="4" borderId="5" xfId="0" applyFill="1" applyBorder="1" applyAlignment="1">
      <alignment horizontal="center" vertical="center"/>
    </xf>
    <xf numFmtId="0" fontId="0" fillId="4" borderId="6" xfId="0" applyFill="1" applyBorder="1" applyAlignment="1">
      <alignment horizontal="center" vertical="center"/>
    </xf>
    <xf numFmtId="1" fontId="4" fillId="0" borderId="1" xfId="0" applyNumberFormat="1" applyFont="1" applyBorder="1" applyAlignment="1">
      <alignment horizontal="center" vertical="center"/>
    </xf>
    <xf numFmtId="1" fontId="4" fillId="0" borderId="5" xfId="0" applyNumberFormat="1" applyFont="1" applyBorder="1" applyAlignment="1">
      <alignment horizontal="center" vertical="center"/>
    </xf>
    <xf numFmtId="0" fontId="0" fillId="4" borderId="4" xfId="0" applyFill="1" applyBorder="1" applyAlignment="1">
      <alignment horizontal="left" vertical="center"/>
    </xf>
    <xf numFmtId="0" fontId="1" fillId="0" borderId="38" xfId="0" applyFont="1" applyBorder="1" applyAlignment="1">
      <alignment horizontal="center" vertical="center" wrapText="1"/>
    </xf>
    <xf numFmtId="0" fontId="1" fillId="0" borderId="21" xfId="0" applyFont="1" applyBorder="1" applyAlignment="1">
      <alignment horizontal="center" vertical="center" wrapText="1"/>
    </xf>
    <xf numFmtId="0" fontId="1" fillId="0" borderId="14" xfId="0" applyFont="1" applyBorder="1" applyAlignment="1">
      <alignment horizontal="center" vertical="center"/>
    </xf>
    <xf numFmtId="0" fontId="1" fillId="0" borderId="15" xfId="0" applyFont="1" applyBorder="1" applyAlignment="1">
      <alignment horizontal="center" vertical="center"/>
    </xf>
    <xf numFmtId="0" fontId="1" fillId="0" borderId="16" xfId="0" applyFont="1" applyBorder="1" applyAlignment="1">
      <alignment horizontal="center" vertical="center"/>
    </xf>
    <xf numFmtId="0" fontId="2" fillId="0" borderId="4" xfId="0" applyFont="1" applyBorder="1" applyAlignment="1">
      <alignment horizontal="left"/>
    </xf>
    <xf numFmtId="0" fontId="2" fillId="0" borderId="5" xfId="0" applyFont="1" applyBorder="1" applyAlignment="1">
      <alignment horizontal="left"/>
    </xf>
    <xf numFmtId="0" fontId="0" fillId="0" borderId="2" xfId="0" applyBorder="1" applyAlignment="1">
      <alignment horizontal="left"/>
    </xf>
    <xf numFmtId="0" fontId="0" fillId="0" borderId="1" xfId="0" applyBorder="1" applyAlignment="1">
      <alignment horizontal="left"/>
    </xf>
    <xf numFmtId="0" fontId="2" fillId="0" borderId="2" xfId="0" applyFont="1" applyBorder="1" applyAlignment="1">
      <alignment horizontal="left"/>
    </xf>
    <xf numFmtId="0" fontId="2" fillId="0" borderId="1" xfId="0" applyFont="1" applyBorder="1" applyAlignment="1">
      <alignment horizontal="left"/>
    </xf>
    <xf numFmtId="0" fontId="5" fillId="2" borderId="10" xfId="0" applyFont="1" applyFill="1" applyBorder="1" applyAlignment="1">
      <alignment horizontal="center"/>
    </xf>
    <xf numFmtId="0" fontId="5" fillId="2" borderId="11" xfId="0" applyFont="1" applyFill="1" applyBorder="1" applyAlignment="1">
      <alignment horizontal="center"/>
    </xf>
    <xf numFmtId="0" fontId="5" fillId="2" borderId="12" xfId="0" applyFont="1" applyFill="1" applyBorder="1" applyAlignment="1">
      <alignment horizontal="center"/>
    </xf>
    <xf numFmtId="0" fontId="1" fillId="5" borderId="10" xfId="0" applyFont="1" applyFill="1" applyBorder="1" applyAlignment="1">
      <alignment horizontal="center"/>
    </xf>
    <xf numFmtId="0" fontId="1" fillId="5" borderId="11" xfId="0" applyFont="1" applyFill="1" applyBorder="1" applyAlignment="1">
      <alignment horizontal="center"/>
    </xf>
    <xf numFmtId="0" fontId="1" fillId="5" borderId="12" xfId="0" applyFont="1" applyFill="1" applyBorder="1" applyAlignment="1">
      <alignment horizontal="center"/>
    </xf>
    <xf numFmtId="0" fontId="0" fillId="0" borderId="7" xfId="0" applyBorder="1" applyAlignment="1">
      <alignment horizontal="left"/>
    </xf>
    <xf numFmtId="0" fontId="0" fillId="0" borderId="8" xfId="0" applyBorder="1" applyAlignment="1">
      <alignment horizontal="left"/>
    </xf>
    <xf numFmtId="0" fontId="0" fillId="0" borderId="0" xfId="0" applyAlignment="1">
      <alignment horizontal="right"/>
    </xf>
    <xf numFmtId="0" fontId="0" fillId="0" borderId="20" xfId="0" applyBorder="1" applyAlignment="1">
      <alignment horizontal="right"/>
    </xf>
    <xf numFmtId="0" fontId="0" fillId="0" borderId="22" xfId="0" applyBorder="1" applyAlignment="1">
      <alignment horizontal="right"/>
    </xf>
    <xf numFmtId="0" fontId="0" fillId="0" borderId="23" xfId="0" applyBorder="1" applyAlignment="1">
      <alignment horizontal="right"/>
    </xf>
    <xf numFmtId="0" fontId="1" fillId="5" borderId="24" xfId="0" applyFont="1" applyFill="1" applyBorder="1" applyAlignment="1">
      <alignment horizontal="center"/>
    </xf>
    <xf numFmtId="0" fontId="1" fillId="5" borderId="17" xfId="0" applyFont="1" applyFill="1" applyBorder="1" applyAlignment="1">
      <alignment horizontal="center"/>
    </xf>
    <xf numFmtId="0" fontId="1" fillId="5" borderId="19" xfId="0" applyFont="1" applyFill="1" applyBorder="1" applyAlignment="1">
      <alignment horizontal="center"/>
    </xf>
    <xf numFmtId="0" fontId="1" fillId="5" borderId="15" xfId="0" applyFont="1" applyFill="1" applyBorder="1" applyAlignment="1">
      <alignment horizontal="center"/>
    </xf>
    <xf numFmtId="0" fontId="1" fillId="5" borderId="16" xfId="0" applyFont="1" applyFill="1" applyBorder="1" applyAlignment="1">
      <alignment horizontal="center"/>
    </xf>
    <xf numFmtId="0" fontId="15" fillId="8" borderId="14" xfId="0" applyFont="1" applyFill="1" applyBorder="1" applyAlignment="1">
      <alignment horizontal="center"/>
    </xf>
    <xf numFmtId="0" fontId="16" fillId="8" borderId="15" xfId="0" applyFont="1" applyFill="1" applyBorder="1" applyAlignment="1">
      <alignment horizontal="center"/>
    </xf>
    <xf numFmtId="0" fontId="16" fillId="8" borderId="16" xfId="0" applyFont="1" applyFill="1" applyBorder="1" applyAlignment="1">
      <alignment horizontal="center"/>
    </xf>
    <xf numFmtId="0" fontId="1" fillId="5" borderId="14" xfId="0" applyFont="1" applyFill="1" applyBorder="1" applyAlignment="1">
      <alignment horizontal="center"/>
    </xf>
    <xf numFmtId="0" fontId="0" fillId="0" borderId="17" xfId="0" applyBorder="1" applyAlignment="1">
      <alignment horizontal="right"/>
    </xf>
    <xf numFmtId="0" fontId="0" fillId="0" borderId="19" xfId="0" applyBorder="1" applyAlignment="1">
      <alignment horizontal="right"/>
    </xf>
    <xf numFmtId="0" fontId="1" fillId="5" borderId="58" xfId="0" applyFont="1" applyFill="1" applyBorder="1" applyAlignment="1">
      <alignment horizontal="center"/>
    </xf>
    <xf numFmtId="0" fontId="15" fillId="5" borderId="14" xfId="0" applyFont="1" applyFill="1" applyBorder="1" applyAlignment="1">
      <alignment horizontal="center"/>
    </xf>
    <xf numFmtId="0" fontId="16" fillId="5" borderId="15" xfId="0" applyFont="1" applyFill="1" applyBorder="1" applyAlignment="1">
      <alignment horizontal="center"/>
    </xf>
    <xf numFmtId="0" fontId="16" fillId="5" borderId="16" xfId="0" applyFont="1" applyFill="1" applyBorder="1" applyAlignment="1">
      <alignment horizontal="center"/>
    </xf>
    <xf numFmtId="0" fontId="0" fillId="0" borderId="18" xfId="0" applyBorder="1" applyAlignment="1">
      <alignment horizontal="left"/>
    </xf>
    <xf numFmtId="0" fontId="0" fillId="0" borderId="0" xfId="0" applyAlignment="1">
      <alignment horizontal="left"/>
    </xf>
    <xf numFmtId="0" fontId="0" fillId="0" borderId="21" xfId="0" applyBorder="1" applyAlignment="1">
      <alignment horizontal="left"/>
    </xf>
    <xf numFmtId="0" fontId="0" fillId="0" borderId="22" xfId="0" applyBorder="1" applyAlignment="1">
      <alignment horizontal="left"/>
    </xf>
    <xf numFmtId="0" fontId="1" fillId="0" borderId="0" xfId="0" applyFont="1" applyAlignment="1">
      <alignment horizontal="center"/>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1" Type="http://schemas.openxmlformats.org/officeDocument/2006/relationships/image" Target="../media/image2.png"/></Relationships>
</file>

<file path=xl/drawings/_rels/drawing13.xml.rels><?xml version="1.0" encoding="UTF-8" standalone="yes"?>
<Relationships xmlns="http://schemas.openxmlformats.org/package/2006/relationships"><Relationship Id="rId1" Type="http://schemas.openxmlformats.org/officeDocument/2006/relationships/image" Target="../media/image2.png"/></Relationships>
</file>

<file path=xl/drawings/_rels/drawing14.xml.rels><?xml version="1.0" encoding="UTF-8" standalone="yes"?>
<Relationships xmlns="http://schemas.openxmlformats.org/package/2006/relationships"><Relationship Id="rId1" Type="http://schemas.openxmlformats.org/officeDocument/2006/relationships/image" Target="../media/image2.png"/></Relationships>
</file>

<file path=xl/drawings/_rels/drawing15.xml.rels><?xml version="1.0" encoding="UTF-8" standalone="yes"?>
<Relationships xmlns="http://schemas.openxmlformats.org/package/2006/relationships"><Relationship Id="rId1" Type="http://schemas.openxmlformats.org/officeDocument/2006/relationships/image" Target="../media/image3.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23</xdr:col>
      <xdr:colOff>47625</xdr:colOff>
      <xdr:row>3</xdr:row>
      <xdr:rowOff>66675</xdr:rowOff>
    </xdr:from>
    <xdr:to>
      <xdr:col>26</xdr:col>
      <xdr:colOff>304800</xdr:colOff>
      <xdr:row>13</xdr:row>
      <xdr:rowOff>190500</xdr:rowOff>
    </xdr:to>
    <xdr:sp macro="" textlink="">
      <xdr:nvSpPr>
        <xdr:cNvPr id="2" name="Rectangle: Rounded Corners 1">
          <a:extLst>
            <a:ext uri="{FF2B5EF4-FFF2-40B4-BE49-F238E27FC236}">
              <a16:creationId xmlns:a16="http://schemas.microsoft.com/office/drawing/2014/main" id="{CFB1A720-46CC-49C0-B57F-DA518B5D6B29}"/>
            </a:ext>
          </a:extLst>
        </xdr:cNvPr>
        <xdr:cNvSpPr/>
      </xdr:nvSpPr>
      <xdr:spPr>
        <a:xfrm>
          <a:off x="15649575" y="847725"/>
          <a:ext cx="2085975" cy="202882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400"/>
            <a:t>Note:  Swath width depends on flying height and effective scan angle.  It</a:t>
          </a:r>
          <a:r>
            <a:rPr lang="en-US" sz="1400" baseline="0"/>
            <a:t> is independnet of sensor model.  PRF increaes or decreases point density, not coverage.</a:t>
          </a:r>
          <a:endParaRPr lang="en-US" sz="140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8</xdr:col>
      <xdr:colOff>171450</xdr:colOff>
      <xdr:row>14</xdr:row>
      <xdr:rowOff>66675</xdr:rowOff>
    </xdr:from>
    <xdr:to>
      <xdr:col>12</xdr:col>
      <xdr:colOff>419100</xdr:colOff>
      <xdr:row>25</xdr:row>
      <xdr:rowOff>0</xdr:rowOff>
    </xdr:to>
    <xdr:sp macro="" textlink="">
      <xdr:nvSpPr>
        <xdr:cNvPr id="2" name="Rectangle: Rounded Corners 1">
          <a:extLst>
            <a:ext uri="{FF2B5EF4-FFF2-40B4-BE49-F238E27FC236}">
              <a16:creationId xmlns:a16="http://schemas.microsoft.com/office/drawing/2014/main" id="{C4BF5A38-A107-4EC7-9966-9959830A1889}"/>
            </a:ext>
          </a:extLst>
        </xdr:cNvPr>
        <xdr:cNvSpPr/>
      </xdr:nvSpPr>
      <xdr:spPr>
        <a:xfrm>
          <a:off x="13239750" y="2828925"/>
          <a:ext cx="2714625" cy="216217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Enter the height, speed and field-of-view (full angle) and %overlap you</a:t>
          </a:r>
          <a:r>
            <a:rPr lang="en-US" sz="1100" baseline="0"/>
            <a:t> plan to use for the data collection to calculate the line spacing, average point density and point spacing (at nadir).</a:t>
          </a:r>
        </a:p>
        <a:p>
          <a:pPr algn="l"/>
          <a:endParaRPr lang="en-US" sz="1100" baseline="0"/>
        </a:p>
        <a:p>
          <a:pPr algn="l"/>
          <a:r>
            <a:rPr lang="en-US" sz="1100" baseline="0"/>
            <a:t>Do not adjust the other values.</a:t>
          </a:r>
          <a:endParaRPr lang="en-US" sz="1100"/>
        </a:p>
      </xdr:txBody>
    </xdr:sp>
    <xdr:clientData/>
  </xdr:twoCellAnchor>
  <xdr:twoCellAnchor>
    <xdr:from>
      <xdr:col>10</xdr:col>
      <xdr:colOff>66675</xdr:colOff>
      <xdr:row>30</xdr:row>
      <xdr:rowOff>104775</xdr:rowOff>
    </xdr:from>
    <xdr:to>
      <xdr:col>13</xdr:col>
      <xdr:colOff>19050</xdr:colOff>
      <xdr:row>37</xdr:row>
      <xdr:rowOff>95250</xdr:rowOff>
    </xdr:to>
    <xdr:sp macro="" textlink="">
      <xdr:nvSpPr>
        <xdr:cNvPr id="4" name="Rectangle: Rounded Corners 3">
          <a:extLst>
            <a:ext uri="{FF2B5EF4-FFF2-40B4-BE49-F238E27FC236}">
              <a16:creationId xmlns:a16="http://schemas.microsoft.com/office/drawing/2014/main" id="{CC267DB4-7A8F-4075-9D29-C336A2F92D23}"/>
            </a:ext>
          </a:extLst>
        </xdr:cNvPr>
        <xdr:cNvSpPr/>
      </xdr:nvSpPr>
      <xdr:spPr>
        <a:xfrm>
          <a:off x="14382750" y="6134100"/>
          <a:ext cx="1781175" cy="130492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Calculated from flight parameter settings entered.  Excludes impact of flight plan (transit, turns) and overlap.</a:t>
          </a:r>
        </a:p>
      </xdr:txBody>
    </xdr:sp>
    <xdr:clientData/>
  </xdr:twoCellAnchor>
  <xdr:twoCellAnchor>
    <xdr:from>
      <xdr:col>11</xdr:col>
      <xdr:colOff>28575</xdr:colOff>
      <xdr:row>40</xdr:row>
      <xdr:rowOff>0</xdr:rowOff>
    </xdr:from>
    <xdr:to>
      <xdr:col>13</xdr:col>
      <xdr:colOff>438150</xdr:colOff>
      <xdr:row>46</xdr:row>
      <xdr:rowOff>60204</xdr:rowOff>
    </xdr:to>
    <xdr:sp macro="" textlink="">
      <xdr:nvSpPr>
        <xdr:cNvPr id="5" name="Rectangle: Rounded Corners 4">
          <a:extLst>
            <a:ext uri="{FF2B5EF4-FFF2-40B4-BE49-F238E27FC236}">
              <a16:creationId xmlns:a16="http://schemas.microsoft.com/office/drawing/2014/main" id="{2C82270B-EDE0-46F8-9230-8FE7E8F68C3C}"/>
            </a:ext>
          </a:extLst>
        </xdr:cNvPr>
        <xdr:cNvSpPr/>
      </xdr:nvSpPr>
      <xdr:spPr>
        <a:xfrm>
          <a:off x="14954250" y="7924800"/>
          <a:ext cx="1628775" cy="1212729"/>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r>
            <a:rPr lang="en-US" sz="1100" b="1">
              <a:solidFill>
                <a:schemeClr val="lt1"/>
              </a:solidFill>
              <a:latin typeface="+mn-lt"/>
              <a:ea typeface="+mn-ea"/>
              <a:cs typeface="+mn-cs"/>
            </a:rPr>
            <a:t>Enter these paramaters based on your drone platform and flight plan.</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5</xdr:col>
      <xdr:colOff>19050</xdr:colOff>
      <xdr:row>1</xdr:row>
      <xdr:rowOff>9525</xdr:rowOff>
    </xdr:from>
    <xdr:to>
      <xdr:col>8</xdr:col>
      <xdr:colOff>590550</xdr:colOff>
      <xdr:row>8</xdr:row>
      <xdr:rowOff>0</xdr:rowOff>
    </xdr:to>
    <xdr:sp macro="" textlink="">
      <xdr:nvSpPr>
        <xdr:cNvPr id="2" name="Rectangle: Rounded Corners 1">
          <a:extLst>
            <a:ext uri="{FF2B5EF4-FFF2-40B4-BE49-F238E27FC236}">
              <a16:creationId xmlns:a16="http://schemas.microsoft.com/office/drawing/2014/main" id="{9D87CD17-108D-43DC-AEF3-F7F485EB4AB3}"/>
            </a:ext>
          </a:extLst>
        </xdr:cNvPr>
        <xdr:cNvSpPr/>
      </xdr:nvSpPr>
      <xdr:spPr>
        <a:xfrm>
          <a:off x="10801350" y="257175"/>
          <a:ext cx="2857500" cy="153352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Enter the height, speed,</a:t>
          </a:r>
          <a:r>
            <a:rPr lang="en-US" sz="1100" baseline="0"/>
            <a:t> </a:t>
          </a:r>
          <a:r>
            <a:rPr lang="en-US" sz="1100"/>
            <a:t>field-of-view (full angle), %overlap, PRF and scan rate you</a:t>
          </a:r>
          <a:r>
            <a:rPr lang="en-US" sz="1100" baseline="0"/>
            <a:t> plan to use for the data collection to calculate the line spacing, average point density and point spacing (at nadir).</a:t>
          </a:r>
        </a:p>
        <a:p>
          <a:pPr algn="l"/>
          <a:endParaRPr lang="en-US" sz="1100" baseline="0"/>
        </a:p>
        <a:p>
          <a:pPr algn="l"/>
          <a:r>
            <a:rPr lang="en-US" sz="1100" baseline="0"/>
            <a:t>Do not adjust the other values.</a:t>
          </a:r>
          <a:endParaRPr lang="en-US" sz="1100"/>
        </a:p>
      </xdr:txBody>
    </xdr:sp>
    <xdr:clientData/>
  </xdr:twoCellAnchor>
  <xdr:twoCellAnchor editAs="oneCell">
    <xdr:from>
      <xdr:col>0</xdr:col>
      <xdr:colOff>0</xdr:colOff>
      <xdr:row>53</xdr:row>
      <xdr:rowOff>171450</xdr:rowOff>
    </xdr:from>
    <xdr:to>
      <xdr:col>3</xdr:col>
      <xdr:colOff>18848</xdr:colOff>
      <xdr:row>81</xdr:row>
      <xdr:rowOff>107026</xdr:rowOff>
    </xdr:to>
    <xdr:pic>
      <xdr:nvPicPr>
        <xdr:cNvPr id="3" name="Picture 2">
          <a:extLst>
            <a:ext uri="{FF2B5EF4-FFF2-40B4-BE49-F238E27FC236}">
              <a16:creationId xmlns:a16="http://schemas.microsoft.com/office/drawing/2014/main" id="{7563115F-5A92-4C6B-83E2-22B5A4CDD9EA}"/>
            </a:ext>
          </a:extLst>
        </xdr:cNvPr>
        <xdr:cNvPicPr>
          <a:picLocks noChangeAspect="1"/>
        </xdr:cNvPicPr>
      </xdr:nvPicPr>
      <xdr:blipFill>
        <a:blip xmlns:r="http://schemas.openxmlformats.org/officeDocument/2006/relationships" r:embed="rId1"/>
        <a:stretch>
          <a:fillRect/>
        </a:stretch>
      </xdr:blipFill>
      <xdr:spPr>
        <a:xfrm>
          <a:off x="0" y="10858500"/>
          <a:ext cx="5019473" cy="5279101"/>
        </a:xfrm>
        <a:prstGeom prst="rect">
          <a:avLst/>
        </a:prstGeom>
      </xdr:spPr>
    </xdr:pic>
    <xdr:clientData/>
  </xdr:twoCellAnchor>
  <xdr:twoCellAnchor>
    <xdr:from>
      <xdr:col>27</xdr:col>
      <xdr:colOff>0</xdr:colOff>
      <xdr:row>14</xdr:row>
      <xdr:rowOff>0</xdr:rowOff>
    </xdr:from>
    <xdr:to>
      <xdr:col>29</xdr:col>
      <xdr:colOff>533400</xdr:colOff>
      <xdr:row>20</xdr:row>
      <xdr:rowOff>196850</xdr:rowOff>
    </xdr:to>
    <xdr:sp macro="" textlink="">
      <xdr:nvSpPr>
        <xdr:cNvPr id="4" name="Rectangle: Rounded Corners 3">
          <a:extLst>
            <a:ext uri="{FF2B5EF4-FFF2-40B4-BE49-F238E27FC236}">
              <a16:creationId xmlns:a16="http://schemas.microsoft.com/office/drawing/2014/main" id="{9E384709-A6BC-4802-935E-40BA89AE91EA}"/>
            </a:ext>
          </a:extLst>
        </xdr:cNvPr>
        <xdr:cNvSpPr/>
      </xdr:nvSpPr>
      <xdr:spPr>
        <a:xfrm>
          <a:off x="24650700" y="3219450"/>
          <a:ext cx="1752600" cy="141605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Calculated from flight parameter settings entered.  Excludes impact of flight plan (transit, turns) and overlap.</a:t>
          </a:r>
        </a:p>
      </xdr:txBody>
    </xdr:sp>
    <xdr:clientData/>
  </xdr:twoCellAnchor>
  <xdr:twoCellAnchor>
    <xdr:from>
      <xdr:col>11</xdr:col>
      <xdr:colOff>0</xdr:colOff>
      <xdr:row>8</xdr:row>
      <xdr:rowOff>0</xdr:rowOff>
    </xdr:from>
    <xdr:to>
      <xdr:col>14</xdr:col>
      <xdr:colOff>574675</xdr:colOff>
      <xdr:row>17</xdr:row>
      <xdr:rowOff>19050</xdr:rowOff>
    </xdr:to>
    <xdr:sp macro="" textlink="">
      <xdr:nvSpPr>
        <xdr:cNvPr id="5" name="Rectangle: Rounded Corners 4">
          <a:extLst>
            <a:ext uri="{FF2B5EF4-FFF2-40B4-BE49-F238E27FC236}">
              <a16:creationId xmlns:a16="http://schemas.microsoft.com/office/drawing/2014/main" id="{B11D528F-666D-499E-AC7D-F5A980FBF6C1}"/>
            </a:ext>
          </a:extLst>
        </xdr:cNvPr>
        <xdr:cNvSpPr/>
      </xdr:nvSpPr>
      <xdr:spPr>
        <a:xfrm>
          <a:off x="14897100" y="1990725"/>
          <a:ext cx="2403475" cy="18288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This table is for quick calculations of step width, scan rate and point spacing for a given PRF, Height and Speed; be sure to update the main settings with your final values</a:t>
          </a:r>
          <a:r>
            <a:rPr lang="en-US" sz="1100" baseline="0"/>
            <a:t> as necessary.</a:t>
          </a:r>
        </a:p>
        <a:p>
          <a:pPr algn="l"/>
          <a:endParaRPr lang="en-US" sz="1100" baseline="0"/>
        </a:p>
        <a:p>
          <a:pPr algn="l"/>
          <a:r>
            <a:rPr lang="en-US" sz="1100" baseline="0"/>
            <a:t>This table is </a:t>
          </a:r>
          <a:r>
            <a:rPr lang="en-US" sz="1100" b="1" u="sng" baseline="0"/>
            <a:t>not</a:t>
          </a:r>
          <a:r>
            <a:rPr lang="en-US" sz="1100" baseline="0"/>
            <a:t> linked to your main flight settings.</a:t>
          </a:r>
        </a:p>
        <a:p>
          <a:pPr algn="l"/>
          <a:endParaRPr lang="en-US" sz="1100" baseline="0"/>
        </a:p>
        <a:p>
          <a:pPr algn="l"/>
          <a:endParaRPr lang="en-US" sz="1100"/>
        </a:p>
      </xdr:txBody>
    </xdr:sp>
    <xdr:clientData/>
  </xdr:twoCellAnchor>
  <xdr:twoCellAnchor>
    <xdr:from>
      <xdr:col>10</xdr:col>
      <xdr:colOff>600074</xdr:colOff>
      <xdr:row>23</xdr:row>
      <xdr:rowOff>161924</xdr:rowOff>
    </xdr:from>
    <xdr:to>
      <xdr:col>14</xdr:col>
      <xdr:colOff>342899</xdr:colOff>
      <xdr:row>29</xdr:row>
      <xdr:rowOff>47624</xdr:rowOff>
    </xdr:to>
    <xdr:sp macro="" textlink="">
      <xdr:nvSpPr>
        <xdr:cNvPr id="6" name="Rectangle: Rounded Corners 5">
          <a:extLst>
            <a:ext uri="{FF2B5EF4-FFF2-40B4-BE49-F238E27FC236}">
              <a16:creationId xmlns:a16="http://schemas.microsoft.com/office/drawing/2014/main" id="{DA8A2C18-0726-4B6F-96D7-4642B4692C09}"/>
            </a:ext>
          </a:extLst>
        </xdr:cNvPr>
        <xdr:cNvSpPr/>
      </xdr:nvSpPr>
      <xdr:spPr>
        <a:xfrm>
          <a:off x="14887574" y="5048249"/>
          <a:ext cx="2181225" cy="117157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Calculated from flight parameter settings as entered.  Excludes impact of flight plan (transit, turns) and overlap.  See below for more detailed calculation.</a:t>
          </a:r>
        </a:p>
      </xdr:txBody>
    </xdr:sp>
    <xdr:clientData/>
  </xdr:twoCellAnchor>
  <xdr:twoCellAnchor>
    <xdr:from>
      <xdr:col>11</xdr:col>
      <xdr:colOff>28575</xdr:colOff>
      <xdr:row>47</xdr:row>
      <xdr:rowOff>0</xdr:rowOff>
    </xdr:from>
    <xdr:to>
      <xdr:col>13</xdr:col>
      <xdr:colOff>438150</xdr:colOff>
      <xdr:row>53</xdr:row>
      <xdr:rowOff>60204</xdr:rowOff>
    </xdr:to>
    <xdr:sp macro="" textlink="">
      <xdr:nvSpPr>
        <xdr:cNvPr id="7" name="Rectangle: Rounded Corners 6">
          <a:extLst>
            <a:ext uri="{FF2B5EF4-FFF2-40B4-BE49-F238E27FC236}">
              <a16:creationId xmlns:a16="http://schemas.microsoft.com/office/drawing/2014/main" id="{4B2DD76C-0597-44F9-9675-F4FD51E8A44A}"/>
            </a:ext>
          </a:extLst>
        </xdr:cNvPr>
        <xdr:cNvSpPr/>
      </xdr:nvSpPr>
      <xdr:spPr>
        <a:xfrm>
          <a:off x="14925675" y="9715500"/>
          <a:ext cx="1628775" cy="1212729"/>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r>
            <a:rPr lang="en-US" sz="1100" b="1">
              <a:solidFill>
                <a:schemeClr val="lt1"/>
              </a:solidFill>
              <a:latin typeface="+mn-lt"/>
              <a:ea typeface="+mn-ea"/>
              <a:cs typeface="+mn-cs"/>
            </a:rPr>
            <a:t>Enter these paramaters based on your drone platform and flight plan.</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5</xdr:col>
      <xdr:colOff>19050</xdr:colOff>
      <xdr:row>1</xdr:row>
      <xdr:rowOff>9525</xdr:rowOff>
    </xdr:from>
    <xdr:to>
      <xdr:col>8</xdr:col>
      <xdr:colOff>590550</xdr:colOff>
      <xdr:row>9</xdr:row>
      <xdr:rowOff>0</xdr:rowOff>
    </xdr:to>
    <xdr:sp macro="" textlink="">
      <xdr:nvSpPr>
        <xdr:cNvPr id="5" name="Rectangle: Rounded Corners 4">
          <a:extLst>
            <a:ext uri="{FF2B5EF4-FFF2-40B4-BE49-F238E27FC236}">
              <a16:creationId xmlns:a16="http://schemas.microsoft.com/office/drawing/2014/main" id="{4DAF1EEB-A8AF-480E-B3D1-B0024B6F0958}"/>
            </a:ext>
          </a:extLst>
        </xdr:cNvPr>
        <xdr:cNvSpPr/>
      </xdr:nvSpPr>
      <xdr:spPr>
        <a:xfrm>
          <a:off x="10801350" y="257175"/>
          <a:ext cx="2857500" cy="134302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Enter the height, speed,</a:t>
          </a:r>
          <a:r>
            <a:rPr lang="en-US" sz="1100" baseline="0"/>
            <a:t> </a:t>
          </a:r>
          <a:r>
            <a:rPr lang="en-US" sz="1100"/>
            <a:t>field-of-view (full angle), %overlap, PRF and scan rate you</a:t>
          </a:r>
          <a:r>
            <a:rPr lang="en-US" sz="1100" baseline="0"/>
            <a:t> plan to use for the data collection to calculate the line spacing, average point density and point spacing (at nadir).</a:t>
          </a:r>
        </a:p>
        <a:p>
          <a:pPr algn="l"/>
          <a:endParaRPr lang="en-US" sz="1100" baseline="0"/>
        </a:p>
        <a:p>
          <a:pPr algn="l"/>
          <a:r>
            <a:rPr lang="en-US" sz="1100" baseline="0"/>
            <a:t>Do not adjust the other values.</a:t>
          </a:r>
          <a:endParaRPr lang="en-US" sz="1100"/>
        </a:p>
      </xdr:txBody>
    </xdr:sp>
    <xdr:clientData/>
  </xdr:twoCellAnchor>
  <xdr:twoCellAnchor editAs="oneCell">
    <xdr:from>
      <xdr:col>0</xdr:col>
      <xdr:colOff>0</xdr:colOff>
      <xdr:row>52</xdr:row>
      <xdr:rowOff>9525</xdr:rowOff>
    </xdr:from>
    <xdr:to>
      <xdr:col>3</xdr:col>
      <xdr:colOff>18848</xdr:colOff>
      <xdr:row>79</xdr:row>
      <xdr:rowOff>135601</xdr:rowOff>
    </xdr:to>
    <xdr:pic>
      <xdr:nvPicPr>
        <xdr:cNvPr id="6" name="Picture 5">
          <a:extLst>
            <a:ext uri="{FF2B5EF4-FFF2-40B4-BE49-F238E27FC236}">
              <a16:creationId xmlns:a16="http://schemas.microsoft.com/office/drawing/2014/main" id="{0505D2E5-2C0E-4C98-9384-E02BE4FADBCC}"/>
            </a:ext>
          </a:extLst>
        </xdr:cNvPr>
        <xdr:cNvPicPr>
          <a:picLocks noChangeAspect="1"/>
        </xdr:cNvPicPr>
      </xdr:nvPicPr>
      <xdr:blipFill>
        <a:blip xmlns:r="http://schemas.openxmlformats.org/officeDocument/2006/relationships" r:embed="rId1"/>
        <a:stretch>
          <a:fillRect/>
        </a:stretch>
      </xdr:blipFill>
      <xdr:spPr>
        <a:xfrm>
          <a:off x="0" y="9525000"/>
          <a:ext cx="5019473" cy="5285451"/>
        </a:xfrm>
        <a:prstGeom prst="rect">
          <a:avLst/>
        </a:prstGeom>
      </xdr:spPr>
    </xdr:pic>
    <xdr:clientData/>
  </xdr:twoCellAnchor>
  <xdr:twoCellAnchor>
    <xdr:from>
      <xdr:col>27</xdr:col>
      <xdr:colOff>0</xdr:colOff>
      <xdr:row>16</xdr:row>
      <xdr:rowOff>0</xdr:rowOff>
    </xdr:from>
    <xdr:to>
      <xdr:col>29</xdr:col>
      <xdr:colOff>533400</xdr:colOff>
      <xdr:row>22</xdr:row>
      <xdr:rowOff>196850</xdr:rowOff>
    </xdr:to>
    <xdr:sp macro="" textlink="">
      <xdr:nvSpPr>
        <xdr:cNvPr id="9" name="Rectangle: Rounded Corners 8">
          <a:extLst>
            <a:ext uri="{FF2B5EF4-FFF2-40B4-BE49-F238E27FC236}">
              <a16:creationId xmlns:a16="http://schemas.microsoft.com/office/drawing/2014/main" id="{DED117D3-5B55-473C-BF6A-F3C0D1A8D444}"/>
            </a:ext>
          </a:extLst>
        </xdr:cNvPr>
        <xdr:cNvSpPr/>
      </xdr:nvSpPr>
      <xdr:spPr>
        <a:xfrm>
          <a:off x="24526875" y="3206750"/>
          <a:ext cx="1739900" cy="141922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Calculated from flight parameter settings entered.  Excludes impact of flight plan (transit, turns) and overlap.</a:t>
          </a:r>
        </a:p>
      </xdr:txBody>
    </xdr:sp>
    <xdr:clientData/>
  </xdr:twoCellAnchor>
  <xdr:twoCellAnchor>
    <xdr:from>
      <xdr:col>11</xdr:col>
      <xdr:colOff>0</xdr:colOff>
      <xdr:row>10</xdr:row>
      <xdr:rowOff>0</xdr:rowOff>
    </xdr:from>
    <xdr:to>
      <xdr:col>14</xdr:col>
      <xdr:colOff>574675</xdr:colOff>
      <xdr:row>19</xdr:row>
      <xdr:rowOff>19050</xdr:rowOff>
    </xdr:to>
    <xdr:sp macro="" textlink="">
      <xdr:nvSpPr>
        <xdr:cNvPr id="10" name="Rectangle: Rounded Corners 9">
          <a:extLst>
            <a:ext uri="{FF2B5EF4-FFF2-40B4-BE49-F238E27FC236}">
              <a16:creationId xmlns:a16="http://schemas.microsoft.com/office/drawing/2014/main" id="{B8E794DE-7D96-404D-80FA-59F34E994F9A}"/>
            </a:ext>
          </a:extLst>
        </xdr:cNvPr>
        <xdr:cNvSpPr/>
      </xdr:nvSpPr>
      <xdr:spPr>
        <a:xfrm>
          <a:off x="14874875" y="2016125"/>
          <a:ext cx="2384425" cy="18288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This table is for quick calculations of step width, scan rate and point spacing for a given PRF, Height and Speed; be sure to update the main settings with your final values</a:t>
          </a:r>
          <a:r>
            <a:rPr lang="en-US" sz="1100" baseline="0"/>
            <a:t> as necessary.</a:t>
          </a:r>
        </a:p>
        <a:p>
          <a:pPr algn="l"/>
          <a:endParaRPr lang="en-US" sz="1100" baseline="0"/>
        </a:p>
        <a:p>
          <a:pPr algn="l"/>
          <a:r>
            <a:rPr lang="en-US" sz="1100" baseline="0"/>
            <a:t>This table is </a:t>
          </a:r>
          <a:r>
            <a:rPr lang="en-US" sz="1100" b="1" u="sng" baseline="0"/>
            <a:t>not</a:t>
          </a:r>
          <a:r>
            <a:rPr lang="en-US" sz="1100" baseline="0"/>
            <a:t> linked to your main flight settings.</a:t>
          </a:r>
        </a:p>
        <a:p>
          <a:pPr algn="l"/>
          <a:endParaRPr lang="en-US" sz="1100" baseline="0"/>
        </a:p>
        <a:p>
          <a:pPr algn="l"/>
          <a:endParaRPr lang="en-US" sz="1100"/>
        </a:p>
      </xdr:txBody>
    </xdr:sp>
    <xdr:clientData/>
  </xdr:twoCellAnchor>
  <xdr:twoCellAnchor>
    <xdr:from>
      <xdr:col>10</xdr:col>
      <xdr:colOff>600074</xdr:colOff>
      <xdr:row>24</xdr:row>
      <xdr:rowOff>161924</xdr:rowOff>
    </xdr:from>
    <xdr:to>
      <xdr:col>14</xdr:col>
      <xdr:colOff>342899</xdr:colOff>
      <xdr:row>30</xdr:row>
      <xdr:rowOff>47624</xdr:rowOff>
    </xdr:to>
    <xdr:sp macro="" textlink="">
      <xdr:nvSpPr>
        <xdr:cNvPr id="13" name="Rectangle: Rounded Corners 12">
          <a:extLst>
            <a:ext uri="{FF2B5EF4-FFF2-40B4-BE49-F238E27FC236}">
              <a16:creationId xmlns:a16="http://schemas.microsoft.com/office/drawing/2014/main" id="{36E3DBF9-3519-41FD-BE26-6DE4BD71C7C6}"/>
            </a:ext>
          </a:extLst>
        </xdr:cNvPr>
        <xdr:cNvSpPr/>
      </xdr:nvSpPr>
      <xdr:spPr>
        <a:xfrm>
          <a:off x="14887574" y="5048249"/>
          <a:ext cx="2181225" cy="117157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Calculated from flight parameter settings as entered.  Excludes impact of flight plan (transit, turns) and overlap.  See below for more detailed calculation.</a:t>
          </a:r>
        </a:p>
      </xdr:txBody>
    </xdr:sp>
    <xdr:clientData/>
  </xdr:twoCellAnchor>
  <xdr:twoCellAnchor>
    <xdr:from>
      <xdr:col>11</xdr:col>
      <xdr:colOff>28575</xdr:colOff>
      <xdr:row>48</xdr:row>
      <xdr:rowOff>0</xdr:rowOff>
    </xdr:from>
    <xdr:to>
      <xdr:col>13</xdr:col>
      <xdr:colOff>438150</xdr:colOff>
      <xdr:row>54</xdr:row>
      <xdr:rowOff>60204</xdr:rowOff>
    </xdr:to>
    <xdr:sp macro="" textlink="">
      <xdr:nvSpPr>
        <xdr:cNvPr id="14" name="Rectangle: Rounded Corners 13">
          <a:extLst>
            <a:ext uri="{FF2B5EF4-FFF2-40B4-BE49-F238E27FC236}">
              <a16:creationId xmlns:a16="http://schemas.microsoft.com/office/drawing/2014/main" id="{AE1A075A-C680-49C5-8BBF-7EC8E4B1CAC6}"/>
            </a:ext>
          </a:extLst>
        </xdr:cNvPr>
        <xdr:cNvSpPr/>
      </xdr:nvSpPr>
      <xdr:spPr>
        <a:xfrm>
          <a:off x="14925675" y="7924800"/>
          <a:ext cx="1628775" cy="1212729"/>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r>
            <a:rPr lang="en-US" sz="1100" b="1">
              <a:solidFill>
                <a:schemeClr val="lt1"/>
              </a:solidFill>
              <a:latin typeface="+mn-lt"/>
              <a:ea typeface="+mn-ea"/>
              <a:cs typeface="+mn-cs"/>
            </a:rPr>
            <a:t>Enter these paramaters based on your drone platform and flight plan.</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5</xdr:col>
      <xdr:colOff>19050</xdr:colOff>
      <xdr:row>1</xdr:row>
      <xdr:rowOff>9525</xdr:rowOff>
    </xdr:from>
    <xdr:to>
      <xdr:col>8</xdr:col>
      <xdr:colOff>590550</xdr:colOff>
      <xdr:row>9</xdr:row>
      <xdr:rowOff>0</xdr:rowOff>
    </xdr:to>
    <xdr:sp macro="" textlink="">
      <xdr:nvSpPr>
        <xdr:cNvPr id="2" name="Rectangle: Rounded Corners 1">
          <a:extLst>
            <a:ext uri="{FF2B5EF4-FFF2-40B4-BE49-F238E27FC236}">
              <a16:creationId xmlns:a16="http://schemas.microsoft.com/office/drawing/2014/main" id="{9FD68614-E92E-431F-BF3A-87A199094F8D}"/>
            </a:ext>
          </a:extLst>
        </xdr:cNvPr>
        <xdr:cNvSpPr/>
      </xdr:nvSpPr>
      <xdr:spPr>
        <a:xfrm>
          <a:off x="10801350" y="257175"/>
          <a:ext cx="2857500" cy="153352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Enter the height, speed,</a:t>
          </a:r>
          <a:r>
            <a:rPr lang="en-US" sz="1100" baseline="0"/>
            <a:t> </a:t>
          </a:r>
          <a:r>
            <a:rPr lang="en-US" sz="1100"/>
            <a:t>field-of-view (full angle), %overlap, PRF and scan rate you</a:t>
          </a:r>
          <a:r>
            <a:rPr lang="en-US" sz="1100" baseline="0"/>
            <a:t> plan to use for the data collection to calculate the line spacing, average point density and point spacing (at nadir).</a:t>
          </a:r>
        </a:p>
        <a:p>
          <a:pPr algn="l"/>
          <a:endParaRPr lang="en-US" sz="1100" baseline="0"/>
        </a:p>
        <a:p>
          <a:pPr algn="l"/>
          <a:r>
            <a:rPr lang="en-US" sz="1100" baseline="0"/>
            <a:t>Do not adjust the other values.</a:t>
          </a:r>
          <a:endParaRPr lang="en-US" sz="1100"/>
        </a:p>
      </xdr:txBody>
    </xdr:sp>
    <xdr:clientData/>
  </xdr:twoCellAnchor>
  <xdr:twoCellAnchor editAs="oneCell">
    <xdr:from>
      <xdr:col>0</xdr:col>
      <xdr:colOff>0</xdr:colOff>
      <xdr:row>52</xdr:row>
      <xdr:rowOff>9525</xdr:rowOff>
    </xdr:from>
    <xdr:to>
      <xdr:col>3</xdr:col>
      <xdr:colOff>18848</xdr:colOff>
      <xdr:row>79</xdr:row>
      <xdr:rowOff>135601</xdr:rowOff>
    </xdr:to>
    <xdr:pic>
      <xdr:nvPicPr>
        <xdr:cNvPr id="3" name="Picture 2">
          <a:extLst>
            <a:ext uri="{FF2B5EF4-FFF2-40B4-BE49-F238E27FC236}">
              <a16:creationId xmlns:a16="http://schemas.microsoft.com/office/drawing/2014/main" id="{2CE24381-5D74-48EA-9F88-CAC389A2668D}"/>
            </a:ext>
          </a:extLst>
        </xdr:cNvPr>
        <xdr:cNvPicPr>
          <a:picLocks noChangeAspect="1"/>
        </xdr:cNvPicPr>
      </xdr:nvPicPr>
      <xdr:blipFill>
        <a:blip xmlns:r="http://schemas.openxmlformats.org/officeDocument/2006/relationships" r:embed="rId1"/>
        <a:stretch>
          <a:fillRect/>
        </a:stretch>
      </xdr:blipFill>
      <xdr:spPr>
        <a:xfrm>
          <a:off x="0" y="10496550"/>
          <a:ext cx="5019473" cy="5279101"/>
        </a:xfrm>
        <a:prstGeom prst="rect">
          <a:avLst/>
        </a:prstGeom>
      </xdr:spPr>
    </xdr:pic>
    <xdr:clientData/>
  </xdr:twoCellAnchor>
  <xdr:twoCellAnchor>
    <xdr:from>
      <xdr:col>27</xdr:col>
      <xdr:colOff>0</xdr:colOff>
      <xdr:row>16</xdr:row>
      <xdr:rowOff>0</xdr:rowOff>
    </xdr:from>
    <xdr:to>
      <xdr:col>29</xdr:col>
      <xdr:colOff>533400</xdr:colOff>
      <xdr:row>22</xdr:row>
      <xdr:rowOff>196850</xdr:rowOff>
    </xdr:to>
    <xdr:sp macro="" textlink="">
      <xdr:nvSpPr>
        <xdr:cNvPr id="4" name="Rectangle: Rounded Corners 3">
          <a:extLst>
            <a:ext uri="{FF2B5EF4-FFF2-40B4-BE49-F238E27FC236}">
              <a16:creationId xmlns:a16="http://schemas.microsoft.com/office/drawing/2014/main" id="{62FAC12F-3721-42E5-9BAF-C3B8C096588E}"/>
            </a:ext>
          </a:extLst>
        </xdr:cNvPr>
        <xdr:cNvSpPr/>
      </xdr:nvSpPr>
      <xdr:spPr>
        <a:xfrm>
          <a:off x="24650700" y="3219450"/>
          <a:ext cx="1752600" cy="141605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Calculated from flight parameter settings entered.  Excludes impact of flight plan (transit, turns) and overlap.</a:t>
          </a:r>
        </a:p>
      </xdr:txBody>
    </xdr:sp>
    <xdr:clientData/>
  </xdr:twoCellAnchor>
  <xdr:twoCellAnchor>
    <xdr:from>
      <xdr:col>11</xdr:col>
      <xdr:colOff>0</xdr:colOff>
      <xdr:row>10</xdr:row>
      <xdr:rowOff>0</xdr:rowOff>
    </xdr:from>
    <xdr:to>
      <xdr:col>14</xdr:col>
      <xdr:colOff>574675</xdr:colOff>
      <xdr:row>19</xdr:row>
      <xdr:rowOff>19050</xdr:rowOff>
    </xdr:to>
    <xdr:sp macro="" textlink="">
      <xdr:nvSpPr>
        <xdr:cNvPr id="5" name="Rectangle: Rounded Corners 4">
          <a:extLst>
            <a:ext uri="{FF2B5EF4-FFF2-40B4-BE49-F238E27FC236}">
              <a16:creationId xmlns:a16="http://schemas.microsoft.com/office/drawing/2014/main" id="{98F8301D-4CE0-42EB-96DF-723F38647F29}"/>
            </a:ext>
          </a:extLst>
        </xdr:cNvPr>
        <xdr:cNvSpPr/>
      </xdr:nvSpPr>
      <xdr:spPr>
        <a:xfrm>
          <a:off x="14897100" y="1990725"/>
          <a:ext cx="2403475" cy="18288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This table is for quick calculations of step width, scan rate and point spacing for a given PRF, Height and Speed; be sure to update the main settings with your final values</a:t>
          </a:r>
          <a:r>
            <a:rPr lang="en-US" sz="1100" baseline="0"/>
            <a:t> as necessary.</a:t>
          </a:r>
        </a:p>
        <a:p>
          <a:pPr algn="l"/>
          <a:endParaRPr lang="en-US" sz="1100" baseline="0"/>
        </a:p>
        <a:p>
          <a:pPr algn="l"/>
          <a:r>
            <a:rPr lang="en-US" sz="1100" baseline="0"/>
            <a:t>This table is </a:t>
          </a:r>
          <a:r>
            <a:rPr lang="en-US" sz="1100" b="1" u="sng" baseline="0"/>
            <a:t>not</a:t>
          </a:r>
          <a:r>
            <a:rPr lang="en-US" sz="1100" baseline="0"/>
            <a:t> linked to your main flight settings.</a:t>
          </a:r>
        </a:p>
        <a:p>
          <a:pPr algn="l"/>
          <a:endParaRPr lang="en-US" sz="1100" baseline="0"/>
        </a:p>
        <a:p>
          <a:pPr algn="l"/>
          <a:endParaRPr lang="en-US" sz="1100"/>
        </a:p>
      </xdr:txBody>
    </xdr:sp>
    <xdr:clientData/>
  </xdr:twoCellAnchor>
  <xdr:twoCellAnchor>
    <xdr:from>
      <xdr:col>10</xdr:col>
      <xdr:colOff>600074</xdr:colOff>
      <xdr:row>24</xdr:row>
      <xdr:rowOff>161924</xdr:rowOff>
    </xdr:from>
    <xdr:to>
      <xdr:col>14</xdr:col>
      <xdr:colOff>342899</xdr:colOff>
      <xdr:row>30</xdr:row>
      <xdr:rowOff>47624</xdr:rowOff>
    </xdr:to>
    <xdr:sp macro="" textlink="">
      <xdr:nvSpPr>
        <xdr:cNvPr id="6" name="Rectangle: Rounded Corners 5">
          <a:extLst>
            <a:ext uri="{FF2B5EF4-FFF2-40B4-BE49-F238E27FC236}">
              <a16:creationId xmlns:a16="http://schemas.microsoft.com/office/drawing/2014/main" id="{812FDF35-252F-42D1-AAE2-D9A1374677CA}"/>
            </a:ext>
          </a:extLst>
        </xdr:cNvPr>
        <xdr:cNvSpPr/>
      </xdr:nvSpPr>
      <xdr:spPr>
        <a:xfrm>
          <a:off x="14887574" y="5048249"/>
          <a:ext cx="2181225" cy="117157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Calculated from flight parameter settings as entered.  Excludes impact of flight plan (transit, turns) and overlap.  See below for more detailed calculation.</a:t>
          </a:r>
        </a:p>
      </xdr:txBody>
    </xdr:sp>
    <xdr:clientData/>
  </xdr:twoCellAnchor>
  <xdr:twoCellAnchor>
    <xdr:from>
      <xdr:col>11</xdr:col>
      <xdr:colOff>28575</xdr:colOff>
      <xdr:row>48</xdr:row>
      <xdr:rowOff>0</xdr:rowOff>
    </xdr:from>
    <xdr:to>
      <xdr:col>13</xdr:col>
      <xdr:colOff>438150</xdr:colOff>
      <xdr:row>54</xdr:row>
      <xdr:rowOff>60204</xdr:rowOff>
    </xdr:to>
    <xdr:sp macro="" textlink="">
      <xdr:nvSpPr>
        <xdr:cNvPr id="7" name="Rectangle: Rounded Corners 6">
          <a:extLst>
            <a:ext uri="{FF2B5EF4-FFF2-40B4-BE49-F238E27FC236}">
              <a16:creationId xmlns:a16="http://schemas.microsoft.com/office/drawing/2014/main" id="{42364DCA-1D78-45D0-9E8C-8FF3440B2E74}"/>
            </a:ext>
          </a:extLst>
        </xdr:cNvPr>
        <xdr:cNvSpPr/>
      </xdr:nvSpPr>
      <xdr:spPr>
        <a:xfrm>
          <a:off x="14925675" y="9715500"/>
          <a:ext cx="1628775" cy="1212729"/>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r>
            <a:rPr lang="en-US" sz="1100" b="1">
              <a:solidFill>
                <a:schemeClr val="lt1"/>
              </a:solidFill>
              <a:latin typeface="+mn-lt"/>
              <a:ea typeface="+mn-ea"/>
              <a:cs typeface="+mn-cs"/>
            </a:rPr>
            <a:t>Enter these paramaters based on your drone platform and flight plan.</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5</xdr:col>
      <xdr:colOff>19050</xdr:colOff>
      <xdr:row>1</xdr:row>
      <xdr:rowOff>9525</xdr:rowOff>
    </xdr:from>
    <xdr:to>
      <xdr:col>8</xdr:col>
      <xdr:colOff>590550</xdr:colOff>
      <xdr:row>8</xdr:row>
      <xdr:rowOff>0</xdr:rowOff>
    </xdr:to>
    <xdr:sp macro="" textlink="">
      <xdr:nvSpPr>
        <xdr:cNvPr id="2" name="Rectangle: Rounded Corners 1">
          <a:extLst>
            <a:ext uri="{FF2B5EF4-FFF2-40B4-BE49-F238E27FC236}">
              <a16:creationId xmlns:a16="http://schemas.microsoft.com/office/drawing/2014/main" id="{46BE0C03-B923-4A37-8616-D5657D3FDA9C}"/>
            </a:ext>
          </a:extLst>
        </xdr:cNvPr>
        <xdr:cNvSpPr/>
      </xdr:nvSpPr>
      <xdr:spPr>
        <a:xfrm>
          <a:off x="10801350" y="257175"/>
          <a:ext cx="2857500" cy="135255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Enter the height, speed,</a:t>
          </a:r>
          <a:r>
            <a:rPr lang="en-US" sz="1100" baseline="0"/>
            <a:t> </a:t>
          </a:r>
          <a:r>
            <a:rPr lang="en-US" sz="1100"/>
            <a:t>field-of-view (full angle), %overlap, PRF and scan rate you</a:t>
          </a:r>
          <a:r>
            <a:rPr lang="en-US" sz="1100" baseline="0"/>
            <a:t> plan to use for the data collection to calculate the line spacing, average point density and point spacing (at nadir).</a:t>
          </a:r>
        </a:p>
        <a:p>
          <a:pPr algn="l"/>
          <a:endParaRPr lang="en-US" sz="1100" baseline="0"/>
        </a:p>
        <a:p>
          <a:pPr algn="l"/>
          <a:r>
            <a:rPr lang="en-US" sz="1100" baseline="0"/>
            <a:t>Do not adjust the other values.</a:t>
          </a:r>
          <a:endParaRPr lang="en-US" sz="1100"/>
        </a:p>
      </xdr:txBody>
    </xdr:sp>
    <xdr:clientData/>
  </xdr:twoCellAnchor>
  <xdr:twoCellAnchor editAs="oneCell">
    <xdr:from>
      <xdr:col>0</xdr:col>
      <xdr:colOff>0</xdr:colOff>
      <xdr:row>51</xdr:row>
      <xdr:rowOff>9525</xdr:rowOff>
    </xdr:from>
    <xdr:to>
      <xdr:col>3</xdr:col>
      <xdr:colOff>18848</xdr:colOff>
      <xdr:row>78</xdr:row>
      <xdr:rowOff>135601</xdr:rowOff>
    </xdr:to>
    <xdr:pic>
      <xdr:nvPicPr>
        <xdr:cNvPr id="3" name="Picture 2">
          <a:extLst>
            <a:ext uri="{FF2B5EF4-FFF2-40B4-BE49-F238E27FC236}">
              <a16:creationId xmlns:a16="http://schemas.microsoft.com/office/drawing/2014/main" id="{DC857E3A-AA01-40EF-ACEC-36A7630A9B0B}"/>
            </a:ext>
          </a:extLst>
        </xdr:cNvPr>
        <xdr:cNvPicPr>
          <a:picLocks noChangeAspect="1"/>
        </xdr:cNvPicPr>
      </xdr:nvPicPr>
      <xdr:blipFill>
        <a:blip xmlns:r="http://schemas.openxmlformats.org/officeDocument/2006/relationships" r:embed="rId1"/>
        <a:stretch>
          <a:fillRect/>
        </a:stretch>
      </xdr:blipFill>
      <xdr:spPr>
        <a:xfrm>
          <a:off x="0" y="10315575"/>
          <a:ext cx="5019473" cy="5279101"/>
        </a:xfrm>
        <a:prstGeom prst="rect">
          <a:avLst/>
        </a:prstGeom>
      </xdr:spPr>
    </xdr:pic>
    <xdr:clientData/>
  </xdr:twoCellAnchor>
  <xdr:twoCellAnchor>
    <xdr:from>
      <xdr:col>27</xdr:col>
      <xdr:colOff>0</xdr:colOff>
      <xdr:row>14</xdr:row>
      <xdr:rowOff>0</xdr:rowOff>
    </xdr:from>
    <xdr:to>
      <xdr:col>29</xdr:col>
      <xdr:colOff>533400</xdr:colOff>
      <xdr:row>20</xdr:row>
      <xdr:rowOff>196850</xdr:rowOff>
    </xdr:to>
    <xdr:sp macro="" textlink="">
      <xdr:nvSpPr>
        <xdr:cNvPr id="4" name="Rectangle: Rounded Corners 3">
          <a:extLst>
            <a:ext uri="{FF2B5EF4-FFF2-40B4-BE49-F238E27FC236}">
              <a16:creationId xmlns:a16="http://schemas.microsoft.com/office/drawing/2014/main" id="{EEB5BF32-71CA-4A33-A670-CEFB20E77531}"/>
            </a:ext>
          </a:extLst>
        </xdr:cNvPr>
        <xdr:cNvSpPr/>
      </xdr:nvSpPr>
      <xdr:spPr>
        <a:xfrm>
          <a:off x="24650700" y="2838450"/>
          <a:ext cx="1752600" cy="141605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Calculated from flight parameter settings entered.  Excludes impact of flight plan (transit, turns) and overlap.</a:t>
          </a:r>
        </a:p>
      </xdr:txBody>
    </xdr:sp>
    <xdr:clientData/>
  </xdr:twoCellAnchor>
  <xdr:twoCellAnchor>
    <xdr:from>
      <xdr:col>11</xdr:col>
      <xdr:colOff>0</xdr:colOff>
      <xdr:row>8</xdr:row>
      <xdr:rowOff>0</xdr:rowOff>
    </xdr:from>
    <xdr:to>
      <xdr:col>14</xdr:col>
      <xdr:colOff>574675</xdr:colOff>
      <xdr:row>17</xdr:row>
      <xdr:rowOff>19050</xdr:rowOff>
    </xdr:to>
    <xdr:sp macro="" textlink="">
      <xdr:nvSpPr>
        <xdr:cNvPr id="5" name="Rectangle: Rounded Corners 4">
          <a:extLst>
            <a:ext uri="{FF2B5EF4-FFF2-40B4-BE49-F238E27FC236}">
              <a16:creationId xmlns:a16="http://schemas.microsoft.com/office/drawing/2014/main" id="{41DFF863-50B3-4580-8710-EBB599D3A4DA}"/>
            </a:ext>
          </a:extLst>
        </xdr:cNvPr>
        <xdr:cNvSpPr/>
      </xdr:nvSpPr>
      <xdr:spPr>
        <a:xfrm>
          <a:off x="14897100" y="1609725"/>
          <a:ext cx="2403475" cy="18288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This table is for quick calculations of step width, scan rate and point spacing for a given PRF, Height and Speed; be sure to update the main settings with your final values</a:t>
          </a:r>
          <a:r>
            <a:rPr lang="en-US" sz="1100" baseline="0"/>
            <a:t> as necessary.</a:t>
          </a:r>
        </a:p>
        <a:p>
          <a:pPr algn="l"/>
          <a:endParaRPr lang="en-US" sz="1100" baseline="0"/>
        </a:p>
        <a:p>
          <a:pPr algn="l"/>
          <a:r>
            <a:rPr lang="en-US" sz="1100" baseline="0"/>
            <a:t>This table is </a:t>
          </a:r>
          <a:r>
            <a:rPr lang="en-US" sz="1100" b="1" u="sng" baseline="0"/>
            <a:t>not</a:t>
          </a:r>
          <a:r>
            <a:rPr lang="en-US" sz="1100" baseline="0"/>
            <a:t> linked to your main flight settings.</a:t>
          </a:r>
        </a:p>
        <a:p>
          <a:pPr algn="l"/>
          <a:endParaRPr lang="en-US" sz="1100" baseline="0"/>
        </a:p>
        <a:p>
          <a:pPr algn="l"/>
          <a:endParaRPr lang="en-US" sz="1100"/>
        </a:p>
      </xdr:txBody>
    </xdr:sp>
    <xdr:clientData/>
  </xdr:twoCellAnchor>
  <xdr:twoCellAnchor>
    <xdr:from>
      <xdr:col>10</xdr:col>
      <xdr:colOff>600074</xdr:colOff>
      <xdr:row>23</xdr:row>
      <xdr:rowOff>161924</xdr:rowOff>
    </xdr:from>
    <xdr:to>
      <xdr:col>14</xdr:col>
      <xdr:colOff>342899</xdr:colOff>
      <xdr:row>29</xdr:row>
      <xdr:rowOff>47624</xdr:rowOff>
    </xdr:to>
    <xdr:sp macro="" textlink="">
      <xdr:nvSpPr>
        <xdr:cNvPr id="6" name="Rectangle: Rounded Corners 5">
          <a:extLst>
            <a:ext uri="{FF2B5EF4-FFF2-40B4-BE49-F238E27FC236}">
              <a16:creationId xmlns:a16="http://schemas.microsoft.com/office/drawing/2014/main" id="{8D52C0AD-155D-4449-AF43-A81840BA3C13}"/>
            </a:ext>
          </a:extLst>
        </xdr:cNvPr>
        <xdr:cNvSpPr/>
      </xdr:nvSpPr>
      <xdr:spPr>
        <a:xfrm>
          <a:off x="14887574" y="4867274"/>
          <a:ext cx="2181225" cy="117157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Calculated from flight parameter settings as entered.  Excludes impact of flight plan (transit, turns) and overlap.  See below for more detailed calculation.</a:t>
          </a:r>
        </a:p>
      </xdr:txBody>
    </xdr:sp>
    <xdr:clientData/>
  </xdr:twoCellAnchor>
  <xdr:twoCellAnchor>
    <xdr:from>
      <xdr:col>11</xdr:col>
      <xdr:colOff>28575</xdr:colOff>
      <xdr:row>47</xdr:row>
      <xdr:rowOff>0</xdr:rowOff>
    </xdr:from>
    <xdr:to>
      <xdr:col>13</xdr:col>
      <xdr:colOff>438150</xdr:colOff>
      <xdr:row>53</xdr:row>
      <xdr:rowOff>60204</xdr:rowOff>
    </xdr:to>
    <xdr:sp macro="" textlink="">
      <xdr:nvSpPr>
        <xdr:cNvPr id="7" name="Rectangle: Rounded Corners 6">
          <a:extLst>
            <a:ext uri="{FF2B5EF4-FFF2-40B4-BE49-F238E27FC236}">
              <a16:creationId xmlns:a16="http://schemas.microsoft.com/office/drawing/2014/main" id="{0BAF4C9A-295E-4253-B349-D1081465454A}"/>
            </a:ext>
          </a:extLst>
        </xdr:cNvPr>
        <xdr:cNvSpPr/>
      </xdr:nvSpPr>
      <xdr:spPr>
        <a:xfrm>
          <a:off x="14925675" y="9534525"/>
          <a:ext cx="1628775" cy="1212729"/>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r>
            <a:rPr lang="en-US" sz="1100" b="1">
              <a:solidFill>
                <a:schemeClr val="lt1"/>
              </a:solidFill>
              <a:latin typeface="+mn-lt"/>
              <a:ea typeface="+mn-ea"/>
              <a:cs typeface="+mn-cs"/>
            </a:rPr>
            <a:t>Enter these paramaters based on your drone platform and flight plan.</a:t>
          </a:r>
        </a:p>
      </xdr:txBody>
    </xdr:sp>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12</xdr:col>
      <xdr:colOff>123825</xdr:colOff>
      <xdr:row>22</xdr:row>
      <xdr:rowOff>167853</xdr:rowOff>
    </xdr:to>
    <xdr:pic>
      <xdr:nvPicPr>
        <xdr:cNvPr id="3" name="Picture 2">
          <a:extLst>
            <a:ext uri="{FF2B5EF4-FFF2-40B4-BE49-F238E27FC236}">
              <a16:creationId xmlns:a16="http://schemas.microsoft.com/office/drawing/2014/main" id="{09B01DEA-0E9E-4A54-A086-FF821D46076A}"/>
            </a:ext>
          </a:extLst>
        </xdr:cNvPr>
        <xdr:cNvPicPr>
          <a:picLocks noChangeAspect="1"/>
        </xdr:cNvPicPr>
      </xdr:nvPicPr>
      <xdr:blipFill>
        <a:blip xmlns:r="http://schemas.openxmlformats.org/officeDocument/2006/relationships" r:embed="rId1"/>
        <a:stretch>
          <a:fillRect/>
        </a:stretch>
      </xdr:blipFill>
      <xdr:spPr>
        <a:xfrm>
          <a:off x="0" y="0"/>
          <a:ext cx="7439025" cy="435885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6</xdr:col>
      <xdr:colOff>219075</xdr:colOff>
      <xdr:row>2</xdr:row>
      <xdr:rowOff>57149</xdr:rowOff>
    </xdr:from>
    <xdr:to>
      <xdr:col>24</xdr:col>
      <xdr:colOff>114300</xdr:colOff>
      <xdr:row>38</xdr:row>
      <xdr:rowOff>47625</xdr:rowOff>
    </xdr:to>
    <xdr:sp macro="" textlink="">
      <xdr:nvSpPr>
        <xdr:cNvPr id="2" name="Rectangle: Rounded Corners 1">
          <a:extLst>
            <a:ext uri="{FF2B5EF4-FFF2-40B4-BE49-F238E27FC236}">
              <a16:creationId xmlns:a16="http://schemas.microsoft.com/office/drawing/2014/main" id="{67EFFD7D-8D50-4062-9AC8-A3DA3A031A57}"/>
            </a:ext>
          </a:extLst>
        </xdr:cNvPr>
        <xdr:cNvSpPr/>
      </xdr:nvSpPr>
      <xdr:spPr>
        <a:xfrm>
          <a:off x="6105525" y="447674"/>
          <a:ext cx="10868025" cy="6858001"/>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800" b="1" u="sng"/>
            <a:t>Planning</a:t>
          </a:r>
          <a:r>
            <a:rPr lang="en-US" sz="1800" b="1" u="sng" baseline="0"/>
            <a:t> Overlap for Photogrammetry-Only Collects</a:t>
          </a:r>
          <a:endParaRPr lang="en-US" sz="1800" b="1" u="sng"/>
        </a:p>
        <a:p>
          <a:pPr algn="l"/>
          <a:endParaRPr lang="en-US" sz="1800"/>
        </a:p>
        <a:p>
          <a:r>
            <a:rPr lang="en-US" sz="1800">
              <a:solidFill>
                <a:schemeClr val="lt1"/>
              </a:solidFill>
              <a:effectLst/>
              <a:latin typeface="+mn-lt"/>
              <a:ea typeface="+mn-ea"/>
              <a:cs typeface="+mn-cs"/>
            </a:rPr>
            <a:t>Here is what we recommend for planning image overlap based on our experience for photogrammetry-only collects.</a:t>
          </a:r>
        </a:p>
        <a:p>
          <a:r>
            <a:rPr lang="en-US" sz="1800">
              <a:solidFill>
                <a:schemeClr val="lt1"/>
              </a:solidFill>
              <a:effectLst/>
              <a:latin typeface="+mn-lt"/>
              <a:ea typeface="+mn-ea"/>
              <a:cs typeface="+mn-cs"/>
            </a:rPr>
            <a:t> </a:t>
          </a:r>
        </a:p>
        <a:p>
          <a:r>
            <a:rPr lang="en-US" sz="1800">
              <a:solidFill>
                <a:schemeClr val="lt1"/>
              </a:solidFill>
              <a:effectLst/>
              <a:latin typeface="+mn-lt"/>
              <a:ea typeface="+mn-ea"/>
              <a:cs typeface="+mn-cs"/>
            </a:rPr>
            <a:t>Forward overlap is relatively straightforward:  </a:t>
          </a:r>
        </a:p>
        <a:p>
          <a:endParaRPr lang="en-US" sz="1800">
            <a:solidFill>
              <a:schemeClr val="lt1"/>
            </a:solidFill>
            <a:effectLst/>
            <a:latin typeface="+mn-lt"/>
            <a:ea typeface="+mn-ea"/>
            <a:cs typeface="+mn-cs"/>
          </a:endParaRPr>
        </a:p>
        <a:p>
          <a:r>
            <a:rPr lang="en-US" sz="1800">
              <a:solidFill>
                <a:schemeClr val="lt1"/>
              </a:solidFill>
              <a:effectLst/>
              <a:latin typeface="+mn-lt"/>
              <a:ea typeface="+mn-ea"/>
              <a:cs typeface="+mn-cs"/>
            </a:rPr>
            <a:t>Speed = 0.41 * H * (1 – forward-lap%/100)</a:t>
          </a:r>
        </a:p>
        <a:p>
          <a:r>
            <a:rPr lang="en-US" sz="1800">
              <a:solidFill>
                <a:schemeClr val="lt1"/>
              </a:solidFill>
              <a:effectLst/>
              <a:latin typeface="+mn-lt"/>
              <a:ea typeface="+mn-ea"/>
              <a:cs typeface="+mn-cs"/>
            </a:rPr>
            <a:t>  </a:t>
          </a:r>
        </a:p>
        <a:p>
          <a:r>
            <a:rPr lang="en-US" sz="1800">
              <a:solidFill>
                <a:schemeClr val="lt1"/>
              </a:solidFill>
              <a:effectLst/>
              <a:latin typeface="+mn-lt"/>
              <a:ea typeface="+mn-ea"/>
              <a:cs typeface="+mn-cs"/>
            </a:rPr>
            <a:t>So for 80% forward-lap at 120 m AGL, program speed to 9.8 m/s.  At 60 m (a typical flight), stick with 5 m/s.  If you use feet instead of meters, the result of the above equation is in ft/sec.  Multiply by 0.681 for mph.  </a:t>
          </a:r>
        </a:p>
        <a:p>
          <a:r>
            <a:rPr lang="en-US" sz="1800">
              <a:solidFill>
                <a:schemeClr val="lt1"/>
              </a:solidFill>
              <a:effectLst/>
              <a:latin typeface="+mn-lt"/>
              <a:ea typeface="+mn-ea"/>
              <a:cs typeface="+mn-cs"/>
            </a:rPr>
            <a:t> </a:t>
          </a:r>
        </a:p>
        <a:p>
          <a:r>
            <a:rPr lang="en-US" sz="1800">
              <a:solidFill>
                <a:schemeClr val="lt1"/>
              </a:solidFill>
              <a:effectLst/>
              <a:latin typeface="+mn-lt"/>
              <a:ea typeface="+mn-ea"/>
              <a:cs typeface="+mn-cs"/>
            </a:rPr>
            <a:t>Side-lap is more complicated.  To get a traditional 60% side-lap for nadir photography, you need to plan line spacing 62% of flying height.  Currently, we think that’s too conservative given True View’s oblique camera mounting, but we don’t have any recommendations from Metashape or Pix4D for setting overlap for dual, side looking 25 degree oblique cameras (that also have accurate positions and orientations).  So for our own True View QC flights, which haven’t exhibited any problems with finding good Metashape solutions, we plan the flight at 75m with 75m line spacing.  We think this is a safe recommendation for side-lap: set your line spacing equal to flying height.   We believe you will still get good Metashape results from imagery collected at line spacing of 1.5x flying height or greater (maybe even up to 2x)— but we need to do more testing to confirm this.</a:t>
          </a:r>
        </a:p>
      </xdr:txBody>
    </xdr:sp>
    <xdr:clientData/>
  </xdr:twoCellAnchor>
  <xdr:twoCellAnchor editAs="oneCell">
    <xdr:from>
      <xdr:col>0</xdr:col>
      <xdr:colOff>9525</xdr:colOff>
      <xdr:row>18</xdr:row>
      <xdr:rowOff>38100</xdr:rowOff>
    </xdr:from>
    <xdr:to>
      <xdr:col>4</xdr:col>
      <xdr:colOff>952500</xdr:colOff>
      <xdr:row>38</xdr:row>
      <xdr:rowOff>85243</xdr:rowOff>
    </xdr:to>
    <xdr:pic>
      <xdr:nvPicPr>
        <xdr:cNvPr id="3" name="Picture 2">
          <a:extLst>
            <a:ext uri="{FF2B5EF4-FFF2-40B4-BE49-F238E27FC236}">
              <a16:creationId xmlns:a16="http://schemas.microsoft.com/office/drawing/2014/main" id="{F6A791D8-219E-4D45-A3E4-810779820E87}"/>
            </a:ext>
          </a:extLst>
        </xdr:cNvPr>
        <xdr:cNvPicPr>
          <a:picLocks noChangeAspect="1"/>
        </xdr:cNvPicPr>
      </xdr:nvPicPr>
      <xdr:blipFill>
        <a:blip xmlns:r="http://schemas.openxmlformats.org/officeDocument/2006/relationships" r:embed="rId1"/>
        <a:stretch>
          <a:fillRect/>
        </a:stretch>
      </xdr:blipFill>
      <xdr:spPr>
        <a:xfrm>
          <a:off x="9525" y="3486150"/>
          <a:ext cx="5257800" cy="385714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5</xdr:col>
      <xdr:colOff>19050</xdr:colOff>
      <xdr:row>1</xdr:row>
      <xdr:rowOff>9525</xdr:rowOff>
    </xdr:from>
    <xdr:to>
      <xdr:col>8</xdr:col>
      <xdr:colOff>447675</xdr:colOff>
      <xdr:row>12</xdr:row>
      <xdr:rowOff>47625</xdr:rowOff>
    </xdr:to>
    <xdr:sp macro="" textlink="">
      <xdr:nvSpPr>
        <xdr:cNvPr id="2" name="Rectangle: Rounded Corners 1">
          <a:extLst>
            <a:ext uri="{FF2B5EF4-FFF2-40B4-BE49-F238E27FC236}">
              <a16:creationId xmlns:a16="http://schemas.microsoft.com/office/drawing/2014/main" id="{7856C965-B62D-4907-B568-386B4E0A1ADC}"/>
            </a:ext>
          </a:extLst>
        </xdr:cNvPr>
        <xdr:cNvSpPr/>
      </xdr:nvSpPr>
      <xdr:spPr>
        <a:xfrm>
          <a:off x="10801350" y="257175"/>
          <a:ext cx="2714625" cy="216217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Enter the height, speed and field-of-view (full angle) and %overlap you</a:t>
          </a:r>
          <a:r>
            <a:rPr lang="en-US" sz="1100" baseline="0"/>
            <a:t> plan to use for the data collection to calculate the line spacing, average point density and point spacing (at nadir).</a:t>
          </a:r>
        </a:p>
        <a:p>
          <a:pPr algn="l"/>
          <a:endParaRPr lang="en-US" sz="1100" baseline="0"/>
        </a:p>
        <a:p>
          <a:pPr algn="l"/>
          <a:r>
            <a:rPr lang="en-US" sz="1100" baseline="0"/>
            <a:t>Do not adjust the other values.</a:t>
          </a:r>
          <a:endParaRPr lang="en-US" sz="1100"/>
        </a:p>
      </xdr:txBody>
    </xdr:sp>
    <xdr:clientData/>
  </xdr:twoCellAnchor>
  <xdr:twoCellAnchor editAs="oneCell">
    <xdr:from>
      <xdr:col>0</xdr:col>
      <xdr:colOff>0</xdr:colOff>
      <xdr:row>45</xdr:row>
      <xdr:rowOff>9525</xdr:rowOff>
    </xdr:from>
    <xdr:to>
      <xdr:col>3</xdr:col>
      <xdr:colOff>18848</xdr:colOff>
      <xdr:row>72</xdr:row>
      <xdr:rowOff>151476</xdr:rowOff>
    </xdr:to>
    <xdr:pic>
      <xdr:nvPicPr>
        <xdr:cNvPr id="3" name="Picture 2">
          <a:extLst>
            <a:ext uri="{FF2B5EF4-FFF2-40B4-BE49-F238E27FC236}">
              <a16:creationId xmlns:a16="http://schemas.microsoft.com/office/drawing/2014/main" id="{417F70D1-1B02-447D-AB8F-7021F2947DE1}"/>
            </a:ext>
          </a:extLst>
        </xdr:cNvPr>
        <xdr:cNvPicPr>
          <a:picLocks noChangeAspect="1"/>
        </xdr:cNvPicPr>
      </xdr:nvPicPr>
      <xdr:blipFill>
        <a:blip xmlns:r="http://schemas.openxmlformats.org/officeDocument/2006/relationships" r:embed="rId1"/>
        <a:stretch>
          <a:fillRect/>
        </a:stretch>
      </xdr:blipFill>
      <xdr:spPr>
        <a:xfrm>
          <a:off x="0" y="8896350"/>
          <a:ext cx="5019473" cy="5294976"/>
        </a:xfrm>
        <a:prstGeom prst="rect">
          <a:avLst/>
        </a:prstGeom>
      </xdr:spPr>
    </xdr:pic>
    <xdr:clientData/>
  </xdr:twoCellAnchor>
  <xdr:twoCellAnchor>
    <xdr:from>
      <xdr:col>8</xdr:col>
      <xdr:colOff>600075</xdr:colOff>
      <xdr:row>16</xdr:row>
      <xdr:rowOff>161925</xdr:rowOff>
    </xdr:from>
    <xdr:to>
      <xdr:col>11</xdr:col>
      <xdr:colOff>523875</xdr:colOff>
      <xdr:row>23</xdr:row>
      <xdr:rowOff>19050</xdr:rowOff>
    </xdr:to>
    <xdr:sp macro="" textlink="">
      <xdr:nvSpPr>
        <xdr:cNvPr id="4" name="Rectangle: Rounded Corners 3">
          <a:extLst>
            <a:ext uri="{FF2B5EF4-FFF2-40B4-BE49-F238E27FC236}">
              <a16:creationId xmlns:a16="http://schemas.microsoft.com/office/drawing/2014/main" id="{DDE73F79-F834-4B93-8C9C-69EF26C3FC1F}"/>
            </a:ext>
          </a:extLst>
        </xdr:cNvPr>
        <xdr:cNvSpPr/>
      </xdr:nvSpPr>
      <xdr:spPr>
        <a:xfrm>
          <a:off x="13668375" y="3314700"/>
          <a:ext cx="1781175" cy="130492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Calculated from flight parameter settings entered.  Excludes impact of flight plan (transit, turns) and overlap.</a:t>
          </a:r>
        </a:p>
      </xdr:txBody>
    </xdr:sp>
    <xdr:clientData/>
  </xdr:twoCellAnchor>
  <xdr:twoCellAnchor>
    <xdr:from>
      <xdr:col>11</xdr:col>
      <xdr:colOff>28575</xdr:colOff>
      <xdr:row>40</xdr:row>
      <xdr:rowOff>0</xdr:rowOff>
    </xdr:from>
    <xdr:to>
      <xdr:col>13</xdr:col>
      <xdr:colOff>438150</xdr:colOff>
      <xdr:row>46</xdr:row>
      <xdr:rowOff>60204</xdr:rowOff>
    </xdr:to>
    <xdr:sp macro="" textlink="">
      <xdr:nvSpPr>
        <xdr:cNvPr id="5" name="Rectangle: Rounded Corners 4">
          <a:extLst>
            <a:ext uri="{FF2B5EF4-FFF2-40B4-BE49-F238E27FC236}">
              <a16:creationId xmlns:a16="http://schemas.microsoft.com/office/drawing/2014/main" id="{4392B092-A323-42C2-865B-1C994C450400}"/>
            </a:ext>
          </a:extLst>
        </xdr:cNvPr>
        <xdr:cNvSpPr/>
      </xdr:nvSpPr>
      <xdr:spPr>
        <a:xfrm>
          <a:off x="14954250" y="7924800"/>
          <a:ext cx="1628775" cy="1212729"/>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r>
            <a:rPr lang="en-US" sz="1100" b="1">
              <a:solidFill>
                <a:schemeClr val="lt1"/>
              </a:solidFill>
              <a:latin typeface="+mn-lt"/>
              <a:ea typeface="+mn-ea"/>
              <a:cs typeface="+mn-cs"/>
            </a:rPr>
            <a:t>Enter these paramaters based on your drone platform and flight plan.</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19050</xdr:colOff>
      <xdr:row>1</xdr:row>
      <xdr:rowOff>9525</xdr:rowOff>
    </xdr:from>
    <xdr:to>
      <xdr:col>8</xdr:col>
      <xdr:colOff>447675</xdr:colOff>
      <xdr:row>12</xdr:row>
      <xdr:rowOff>47625</xdr:rowOff>
    </xdr:to>
    <xdr:sp macro="" textlink="">
      <xdr:nvSpPr>
        <xdr:cNvPr id="2" name="Rectangle: Rounded Corners 1">
          <a:extLst>
            <a:ext uri="{FF2B5EF4-FFF2-40B4-BE49-F238E27FC236}">
              <a16:creationId xmlns:a16="http://schemas.microsoft.com/office/drawing/2014/main" id="{BADCB4FB-5B71-4F1D-8B05-E83E76A07B6F}"/>
            </a:ext>
          </a:extLst>
        </xdr:cNvPr>
        <xdr:cNvSpPr/>
      </xdr:nvSpPr>
      <xdr:spPr>
        <a:xfrm>
          <a:off x="10801350" y="257175"/>
          <a:ext cx="2714625" cy="216217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Enter the height, speed and field-of-view (full angle) and %overlap you</a:t>
          </a:r>
          <a:r>
            <a:rPr lang="en-US" sz="1100" baseline="0"/>
            <a:t> plan to use for the data collection to calculate the line spacing, average point density and point spacing (at nadir).</a:t>
          </a:r>
        </a:p>
        <a:p>
          <a:pPr algn="l"/>
          <a:endParaRPr lang="en-US" sz="1100" baseline="0"/>
        </a:p>
        <a:p>
          <a:pPr algn="l"/>
          <a:r>
            <a:rPr lang="en-US" sz="1100" baseline="0"/>
            <a:t>Do not adjust the other values.</a:t>
          </a:r>
          <a:endParaRPr lang="en-US" sz="1100"/>
        </a:p>
      </xdr:txBody>
    </xdr:sp>
    <xdr:clientData/>
  </xdr:twoCellAnchor>
  <xdr:twoCellAnchor editAs="oneCell">
    <xdr:from>
      <xdr:col>0</xdr:col>
      <xdr:colOff>0</xdr:colOff>
      <xdr:row>45</xdr:row>
      <xdr:rowOff>9525</xdr:rowOff>
    </xdr:from>
    <xdr:to>
      <xdr:col>3</xdr:col>
      <xdr:colOff>18848</xdr:colOff>
      <xdr:row>72</xdr:row>
      <xdr:rowOff>151476</xdr:rowOff>
    </xdr:to>
    <xdr:pic>
      <xdr:nvPicPr>
        <xdr:cNvPr id="3" name="Picture 2">
          <a:extLst>
            <a:ext uri="{FF2B5EF4-FFF2-40B4-BE49-F238E27FC236}">
              <a16:creationId xmlns:a16="http://schemas.microsoft.com/office/drawing/2014/main" id="{0799B52C-831D-4418-8A5F-FDD45D53FF2A}"/>
            </a:ext>
          </a:extLst>
        </xdr:cNvPr>
        <xdr:cNvPicPr>
          <a:picLocks noChangeAspect="1"/>
        </xdr:cNvPicPr>
      </xdr:nvPicPr>
      <xdr:blipFill>
        <a:blip xmlns:r="http://schemas.openxmlformats.org/officeDocument/2006/relationships" r:embed="rId1"/>
        <a:stretch>
          <a:fillRect/>
        </a:stretch>
      </xdr:blipFill>
      <xdr:spPr>
        <a:xfrm>
          <a:off x="0" y="8896350"/>
          <a:ext cx="5019473" cy="5294976"/>
        </a:xfrm>
        <a:prstGeom prst="rect">
          <a:avLst/>
        </a:prstGeom>
      </xdr:spPr>
    </xdr:pic>
    <xdr:clientData/>
  </xdr:twoCellAnchor>
  <xdr:twoCellAnchor>
    <xdr:from>
      <xdr:col>8</xdr:col>
      <xdr:colOff>600075</xdr:colOff>
      <xdr:row>16</xdr:row>
      <xdr:rowOff>161925</xdr:rowOff>
    </xdr:from>
    <xdr:to>
      <xdr:col>11</xdr:col>
      <xdr:colOff>523875</xdr:colOff>
      <xdr:row>23</xdr:row>
      <xdr:rowOff>19050</xdr:rowOff>
    </xdr:to>
    <xdr:sp macro="" textlink="">
      <xdr:nvSpPr>
        <xdr:cNvPr id="4" name="Rectangle: Rounded Corners 3">
          <a:extLst>
            <a:ext uri="{FF2B5EF4-FFF2-40B4-BE49-F238E27FC236}">
              <a16:creationId xmlns:a16="http://schemas.microsoft.com/office/drawing/2014/main" id="{80A97B4B-B7E2-488D-958A-ED3CAE1BA09D}"/>
            </a:ext>
          </a:extLst>
        </xdr:cNvPr>
        <xdr:cNvSpPr/>
      </xdr:nvSpPr>
      <xdr:spPr>
        <a:xfrm>
          <a:off x="13668375" y="3314700"/>
          <a:ext cx="1781175" cy="130492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Calculated from flight parameter settings entered.  Excludes impact of flight plan (transit, turns) and overlap.</a:t>
          </a:r>
        </a:p>
      </xdr:txBody>
    </xdr:sp>
    <xdr:clientData/>
  </xdr:twoCellAnchor>
  <xdr:twoCellAnchor>
    <xdr:from>
      <xdr:col>11</xdr:col>
      <xdr:colOff>28575</xdr:colOff>
      <xdr:row>40</xdr:row>
      <xdr:rowOff>0</xdr:rowOff>
    </xdr:from>
    <xdr:to>
      <xdr:col>13</xdr:col>
      <xdr:colOff>438150</xdr:colOff>
      <xdr:row>46</xdr:row>
      <xdr:rowOff>60204</xdr:rowOff>
    </xdr:to>
    <xdr:sp macro="" textlink="">
      <xdr:nvSpPr>
        <xdr:cNvPr id="5" name="Rectangle: Rounded Corners 4">
          <a:extLst>
            <a:ext uri="{FF2B5EF4-FFF2-40B4-BE49-F238E27FC236}">
              <a16:creationId xmlns:a16="http://schemas.microsoft.com/office/drawing/2014/main" id="{825E8B6D-2CFA-4F38-AB1F-EBF59EA30217}"/>
            </a:ext>
          </a:extLst>
        </xdr:cNvPr>
        <xdr:cNvSpPr/>
      </xdr:nvSpPr>
      <xdr:spPr>
        <a:xfrm>
          <a:off x="14954250" y="7924800"/>
          <a:ext cx="1628775" cy="1212729"/>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r>
            <a:rPr lang="en-US" sz="1100" b="1">
              <a:solidFill>
                <a:schemeClr val="lt1"/>
              </a:solidFill>
              <a:latin typeface="+mn-lt"/>
              <a:ea typeface="+mn-ea"/>
              <a:cs typeface="+mn-cs"/>
            </a:rPr>
            <a:t>Enter these paramaters based on your drone platform and flight plan.</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19050</xdr:colOff>
      <xdr:row>1</xdr:row>
      <xdr:rowOff>9525</xdr:rowOff>
    </xdr:from>
    <xdr:to>
      <xdr:col>8</xdr:col>
      <xdr:colOff>590550</xdr:colOff>
      <xdr:row>9</xdr:row>
      <xdr:rowOff>0</xdr:rowOff>
    </xdr:to>
    <xdr:sp macro="" textlink="">
      <xdr:nvSpPr>
        <xdr:cNvPr id="2" name="Rectangle: Rounded Corners 1">
          <a:extLst>
            <a:ext uri="{FF2B5EF4-FFF2-40B4-BE49-F238E27FC236}">
              <a16:creationId xmlns:a16="http://schemas.microsoft.com/office/drawing/2014/main" id="{28061CFF-51F5-4BDB-AB1E-CBD0DA4864C2}"/>
            </a:ext>
          </a:extLst>
        </xdr:cNvPr>
        <xdr:cNvSpPr/>
      </xdr:nvSpPr>
      <xdr:spPr>
        <a:xfrm>
          <a:off x="10801350" y="257175"/>
          <a:ext cx="2857500" cy="153352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Enter the height, speed,</a:t>
          </a:r>
          <a:r>
            <a:rPr lang="en-US" sz="1100" baseline="0"/>
            <a:t> </a:t>
          </a:r>
          <a:r>
            <a:rPr lang="en-US" sz="1100"/>
            <a:t>field-of-view (full angle), %overlap, PRF and scan rate you</a:t>
          </a:r>
          <a:r>
            <a:rPr lang="en-US" sz="1100" baseline="0"/>
            <a:t> plan to use for the data collection to calculate the line spacing, average point density and point spacing (at nadir).</a:t>
          </a:r>
        </a:p>
        <a:p>
          <a:pPr algn="l"/>
          <a:endParaRPr lang="en-US" sz="1100" baseline="0"/>
        </a:p>
        <a:p>
          <a:pPr algn="l"/>
          <a:r>
            <a:rPr lang="en-US" sz="1100" baseline="0"/>
            <a:t>Do not adjust the other values.</a:t>
          </a:r>
          <a:endParaRPr lang="en-US" sz="1100"/>
        </a:p>
      </xdr:txBody>
    </xdr:sp>
    <xdr:clientData/>
  </xdr:twoCellAnchor>
  <xdr:twoCellAnchor editAs="oneCell">
    <xdr:from>
      <xdr:col>0</xdr:col>
      <xdr:colOff>0</xdr:colOff>
      <xdr:row>52</xdr:row>
      <xdr:rowOff>9525</xdr:rowOff>
    </xdr:from>
    <xdr:to>
      <xdr:col>3</xdr:col>
      <xdr:colOff>18848</xdr:colOff>
      <xdr:row>79</xdr:row>
      <xdr:rowOff>135601</xdr:rowOff>
    </xdr:to>
    <xdr:pic>
      <xdr:nvPicPr>
        <xdr:cNvPr id="3" name="Picture 2">
          <a:extLst>
            <a:ext uri="{FF2B5EF4-FFF2-40B4-BE49-F238E27FC236}">
              <a16:creationId xmlns:a16="http://schemas.microsoft.com/office/drawing/2014/main" id="{09CBAAD9-E041-40E8-A34D-2DC5CDC787D6}"/>
            </a:ext>
          </a:extLst>
        </xdr:cNvPr>
        <xdr:cNvPicPr>
          <a:picLocks noChangeAspect="1"/>
        </xdr:cNvPicPr>
      </xdr:nvPicPr>
      <xdr:blipFill>
        <a:blip xmlns:r="http://schemas.openxmlformats.org/officeDocument/2006/relationships" r:embed="rId1"/>
        <a:stretch>
          <a:fillRect/>
        </a:stretch>
      </xdr:blipFill>
      <xdr:spPr>
        <a:xfrm>
          <a:off x="0" y="10496550"/>
          <a:ext cx="5019473" cy="5279101"/>
        </a:xfrm>
        <a:prstGeom prst="rect">
          <a:avLst/>
        </a:prstGeom>
      </xdr:spPr>
    </xdr:pic>
    <xdr:clientData/>
  </xdr:twoCellAnchor>
  <xdr:twoCellAnchor>
    <xdr:from>
      <xdr:col>27</xdr:col>
      <xdr:colOff>0</xdr:colOff>
      <xdr:row>16</xdr:row>
      <xdr:rowOff>0</xdr:rowOff>
    </xdr:from>
    <xdr:to>
      <xdr:col>29</xdr:col>
      <xdr:colOff>533400</xdr:colOff>
      <xdr:row>22</xdr:row>
      <xdr:rowOff>196850</xdr:rowOff>
    </xdr:to>
    <xdr:sp macro="" textlink="">
      <xdr:nvSpPr>
        <xdr:cNvPr id="4" name="Rectangle: Rounded Corners 3">
          <a:extLst>
            <a:ext uri="{FF2B5EF4-FFF2-40B4-BE49-F238E27FC236}">
              <a16:creationId xmlns:a16="http://schemas.microsoft.com/office/drawing/2014/main" id="{025AB506-6E0E-4A04-B505-82C6EB4295DE}"/>
            </a:ext>
          </a:extLst>
        </xdr:cNvPr>
        <xdr:cNvSpPr/>
      </xdr:nvSpPr>
      <xdr:spPr>
        <a:xfrm>
          <a:off x="24650700" y="3219450"/>
          <a:ext cx="1752600" cy="141605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Calculated from flight parameter settings entered.  Excludes impact of flight plan (transit, turns) and overlap.</a:t>
          </a:r>
        </a:p>
      </xdr:txBody>
    </xdr:sp>
    <xdr:clientData/>
  </xdr:twoCellAnchor>
  <xdr:twoCellAnchor>
    <xdr:from>
      <xdr:col>11</xdr:col>
      <xdr:colOff>0</xdr:colOff>
      <xdr:row>10</xdr:row>
      <xdr:rowOff>0</xdr:rowOff>
    </xdr:from>
    <xdr:to>
      <xdr:col>14</xdr:col>
      <xdr:colOff>574675</xdr:colOff>
      <xdr:row>19</xdr:row>
      <xdr:rowOff>19050</xdr:rowOff>
    </xdr:to>
    <xdr:sp macro="" textlink="">
      <xdr:nvSpPr>
        <xdr:cNvPr id="5" name="Rectangle: Rounded Corners 4">
          <a:extLst>
            <a:ext uri="{FF2B5EF4-FFF2-40B4-BE49-F238E27FC236}">
              <a16:creationId xmlns:a16="http://schemas.microsoft.com/office/drawing/2014/main" id="{E12DCF63-807D-43C2-8A30-D0BA0759ECC4}"/>
            </a:ext>
          </a:extLst>
        </xdr:cNvPr>
        <xdr:cNvSpPr/>
      </xdr:nvSpPr>
      <xdr:spPr>
        <a:xfrm>
          <a:off x="14897100" y="1990725"/>
          <a:ext cx="2403475" cy="18288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This table is for quick calculations of step width, scan rate and point spacing for a given PRF, Height and Speed; be sure to update the main settings with your final values</a:t>
          </a:r>
          <a:r>
            <a:rPr lang="en-US" sz="1100" baseline="0"/>
            <a:t> as necessary.</a:t>
          </a:r>
        </a:p>
        <a:p>
          <a:pPr algn="l"/>
          <a:endParaRPr lang="en-US" sz="1100" baseline="0"/>
        </a:p>
        <a:p>
          <a:pPr algn="l"/>
          <a:r>
            <a:rPr lang="en-US" sz="1100" baseline="0"/>
            <a:t>This table is </a:t>
          </a:r>
          <a:r>
            <a:rPr lang="en-US" sz="1100" b="1" u="sng" baseline="0"/>
            <a:t>not</a:t>
          </a:r>
          <a:r>
            <a:rPr lang="en-US" sz="1100" baseline="0"/>
            <a:t> linked to your main flight settings.</a:t>
          </a:r>
        </a:p>
        <a:p>
          <a:pPr algn="l"/>
          <a:endParaRPr lang="en-US" sz="1100" baseline="0"/>
        </a:p>
        <a:p>
          <a:pPr algn="l"/>
          <a:endParaRPr lang="en-US" sz="1100"/>
        </a:p>
      </xdr:txBody>
    </xdr:sp>
    <xdr:clientData/>
  </xdr:twoCellAnchor>
  <xdr:twoCellAnchor>
    <xdr:from>
      <xdr:col>10</xdr:col>
      <xdr:colOff>600074</xdr:colOff>
      <xdr:row>24</xdr:row>
      <xdr:rowOff>161924</xdr:rowOff>
    </xdr:from>
    <xdr:to>
      <xdr:col>14</xdr:col>
      <xdr:colOff>342899</xdr:colOff>
      <xdr:row>30</xdr:row>
      <xdr:rowOff>47624</xdr:rowOff>
    </xdr:to>
    <xdr:sp macro="" textlink="">
      <xdr:nvSpPr>
        <xdr:cNvPr id="6" name="Rectangle: Rounded Corners 5">
          <a:extLst>
            <a:ext uri="{FF2B5EF4-FFF2-40B4-BE49-F238E27FC236}">
              <a16:creationId xmlns:a16="http://schemas.microsoft.com/office/drawing/2014/main" id="{AE65CF2D-96A5-4736-A867-5206F1A43C3C}"/>
            </a:ext>
          </a:extLst>
        </xdr:cNvPr>
        <xdr:cNvSpPr/>
      </xdr:nvSpPr>
      <xdr:spPr>
        <a:xfrm>
          <a:off x="14887574" y="5048249"/>
          <a:ext cx="2181225" cy="117157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Calculated from flight parameter settings as entered.  Excludes impact of flight plan (transit, turns) and overlap.  See below for more detailed calculation.</a:t>
          </a:r>
        </a:p>
      </xdr:txBody>
    </xdr:sp>
    <xdr:clientData/>
  </xdr:twoCellAnchor>
  <xdr:twoCellAnchor>
    <xdr:from>
      <xdr:col>11</xdr:col>
      <xdr:colOff>28575</xdr:colOff>
      <xdr:row>48</xdr:row>
      <xdr:rowOff>0</xdr:rowOff>
    </xdr:from>
    <xdr:to>
      <xdr:col>13</xdr:col>
      <xdr:colOff>438150</xdr:colOff>
      <xdr:row>54</xdr:row>
      <xdr:rowOff>60204</xdr:rowOff>
    </xdr:to>
    <xdr:sp macro="" textlink="">
      <xdr:nvSpPr>
        <xdr:cNvPr id="7" name="Rectangle: Rounded Corners 6">
          <a:extLst>
            <a:ext uri="{FF2B5EF4-FFF2-40B4-BE49-F238E27FC236}">
              <a16:creationId xmlns:a16="http://schemas.microsoft.com/office/drawing/2014/main" id="{B69EBCBA-8981-430A-AAEC-69A40A53ECF2}"/>
            </a:ext>
          </a:extLst>
        </xdr:cNvPr>
        <xdr:cNvSpPr/>
      </xdr:nvSpPr>
      <xdr:spPr>
        <a:xfrm>
          <a:off x="14925675" y="9715500"/>
          <a:ext cx="1628775" cy="1212729"/>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r>
            <a:rPr lang="en-US" sz="1100" b="1">
              <a:solidFill>
                <a:schemeClr val="lt1"/>
              </a:solidFill>
              <a:latin typeface="+mn-lt"/>
              <a:ea typeface="+mn-ea"/>
              <a:cs typeface="+mn-cs"/>
            </a:rPr>
            <a:t>Enter these paramaters based on your drone platform and flight plan.</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5</xdr:col>
      <xdr:colOff>19050</xdr:colOff>
      <xdr:row>1</xdr:row>
      <xdr:rowOff>9525</xdr:rowOff>
    </xdr:from>
    <xdr:to>
      <xdr:col>8</xdr:col>
      <xdr:colOff>447675</xdr:colOff>
      <xdr:row>12</xdr:row>
      <xdr:rowOff>47625</xdr:rowOff>
    </xdr:to>
    <xdr:sp macro="" textlink="">
      <xdr:nvSpPr>
        <xdr:cNvPr id="2" name="Rectangle: Rounded Corners 1">
          <a:extLst>
            <a:ext uri="{FF2B5EF4-FFF2-40B4-BE49-F238E27FC236}">
              <a16:creationId xmlns:a16="http://schemas.microsoft.com/office/drawing/2014/main" id="{534EFD25-217E-4A6D-A46C-64863AEED0D3}"/>
            </a:ext>
          </a:extLst>
        </xdr:cNvPr>
        <xdr:cNvSpPr/>
      </xdr:nvSpPr>
      <xdr:spPr>
        <a:xfrm>
          <a:off x="10801350" y="257175"/>
          <a:ext cx="2714625" cy="139065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Enter the height, speed and field-of-view (full angle) and %overlap you</a:t>
          </a:r>
          <a:r>
            <a:rPr lang="en-US" sz="1100" baseline="0"/>
            <a:t> plan to use for the data collection to calculate the line spacing, average point density and point spacing (at nadir).</a:t>
          </a:r>
        </a:p>
        <a:p>
          <a:pPr algn="l"/>
          <a:endParaRPr lang="en-US" sz="1100" baseline="0"/>
        </a:p>
        <a:p>
          <a:pPr algn="l"/>
          <a:r>
            <a:rPr lang="en-US" sz="1100" baseline="0"/>
            <a:t>Do not adjust the other values.</a:t>
          </a:r>
          <a:endParaRPr lang="en-US" sz="1100"/>
        </a:p>
      </xdr:txBody>
    </xdr:sp>
    <xdr:clientData/>
  </xdr:twoCellAnchor>
  <xdr:twoCellAnchor editAs="oneCell">
    <xdr:from>
      <xdr:col>0</xdr:col>
      <xdr:colOff>0</xdr:colOff>
      <xdr:row>45</xdr:row>
      <xdr:rowOff>9525</xdr:rowOff>
    </xdr:from>
    <xdr:to>
      <xdr:col>3</xdr:col>
      <xdr:colOff>18848</xdr:colOff>
      <xdr:row>72</xdr:row>
      <xdr:rowOff>141951</xdr:rowOff>
    </xdr:to>
    <xdr:pic>
      <xdr:nvPicPr>
        <xdr:cNvPr id="3" name="Picture 2">
          <a:extLst>
            <a:ext uri="{FF2B5EF4-FFF2-40B4-BE49-F238E27FC236}">
              <a16:creationId xmlns:a16="http://schemas.microsoft.com/office/drawing/2014/main" id="{93813E51-7370-45FC-BCA9-2CBD882865DD}"/>
            </a:ext>
          </a:extLst>
        </xdr:cNvPr>
        <xdr:cNvPicPr>
          <a:picLocks noChangeAspect="1"/>
        </xdr:cNvPicPr>
      </xdr:nvPicPr>
      <xdr:blipFill>
        <a:blip xmlns:r="http://schemas.openxmlformats.org/officeDocument/2006/relationships" r:embed="rId1"/>
        <a:stretch>
          <a:fillRect/>
        </a:stretch>
      </xdr:blipFill>
      <xdr:spPr>
        <a:xfrm>
          <a:off x="0" y="7277100"/>
          <a:ext cx="5019473" cy="5285451"/>
        </a:xfrm>
        <a:prstGeom prst="rect">
          <a:avLst/>
        </a:prstGeom>
      </xdr:spPr>
    </xdr:pic>
    <xdr:clientData/>
  </xdr:twoCellAnchor>
  <xdr:twoCellAnchor>
    <xdr:from>
      <xdr:col>8</xdr:col>
      <xdr:colOff>600075</xdr:colOff>
      <xdr:row>16</xdr:row>
      <xdr:rowOff>161925</xdr:rowOff>
    </xdr:from>
    <xdr:to>
      <xdr:col>11</xdr:col>
      <xdr:colOff>523875</xdr:colOff>
      <xdr:row>23</xdr:row>
      <xdr:rowOff>19050</xdr:rowOff>
    </xdr:to>
    <xdr:sp macro="" textlink="">
      <xdr:nvSpPr>
        <xdr:cNvPr id="4" name="Rectangle: Rounded Corners 3">
          <a:extLst>
            <a:ext uri="{FF2B5EF4-FFF2-40B4-BE49-F238E27FC236}">
              <a16:creationId xmlns:a16="http://schemas.microsoft.com/office/drawing/2014/main" id="{7263C5E8-713A-4C6B-B065-CC4A8A1D743D}"/>
            </a:ext>
          </a:extLst>
        </xdr:cNvPr>
        <xdr:cNvSpPr/>
      </xdr:nvSpPr>
      <xdr:spPr>
        <a:xfrm>
          <a:off x="13668375" y="2543175"/>
          <a:ext cx="1752600" cy="130492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Calculated from flight parameter settings entered.  Excludes impact of flight plan (transit, turns) and overlap.</a:t>
          </a:r>
        </a:p>
      </xdr:txBody>
    </xdr:sp>
    <xdr:clientData/>
  </xdr:twoCellAnchor>
  <xdr:twoCellAnchor>
    <xdr:from>
      <xdr:col>11</xdr:col>
      <xdr:colOff>314325</xdr:colOff>
      <xdr:row>40</xdr:row>
      <xdr:rowOff>161925</xdr:rowOff>
    </xdr:from>
    <xdr:to>
      <xdr:col>14</xdr:col>
      <xdr:colOff>114300</xdr:colOff>
      <xdr:row>47</xdr:row>
      <xdr:rowOff>31629</xdr:rowOff>
    </xdr:to>
    <xdr:sp macro="" textlink="">
      <xdr:nvSpPr>
        <xdr:cNvPr id="6" name="Rectangle: Rounded Corners 5">
          <a:extLst>
            <a:ext uri="{FF2B5EF4-FFF2-40B4-BE49-F238E27FC236}">
              <a16:creationId xmlns:a16="http://schemas.microsoft.com/office/drawing/2014/main" id="{DEA7AEEA-4F09-41CC-8413-3901A7A1697C}"/>
            </a:ext>
          </a:extLst>
        </xdr:cNvPr>
        <xdr:cNvSpPr/>
      </xdr:nvSpPr>
      <xdr:spPr>
        <a:xfrm>
          <a:off x="15211425" y="8086725"/>
          <a:ext cx="1628775" cy="1212729"/>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r>
            <a:rPr lang="en-US" sz="1100" b="1">
              <a:solidFill>
                <a:schemeClr val="lt1"/>
              </a:solidFill>
              <a:latin typeface="+mn-lt"/>
              <a:ea typeface="+mn-ea"/>
              <a:cs typeface="+mn-cs"/>
            </a:rPr>
            <a:t>Enter these paramaters based on your drone platform and flight plan.</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5</xdr:col>
      <xdr:colOff>19050</xdr:colOff>
      <xdr:row>1</xdr:row>
      <xdr:rowOff>9525</xdr:rowOff>
    </xdr:from>
    <xdr:to>
      <xdr:col>8</xdr:col>
      <xdr:colOff>447675</xdr:colOff>
      <xdr:row>12</xdr:row>
      <xdr:rowOff>47625</xdr:rowOff>
    </xdr:to>
    <xdr:sp macro="" textlink="">
      <xdr:nvSpPr>
        <xdr:cNvPr id="2" name="Rectangle: Rounded Corners 1">
          <a:extLst>
            <a:ext uri="{FF2B5EF4-FFF2-40B4-BE49-F238E27FC236}">
              <a16:creationId xmlns:a16="http://schemas.microsoft.com/office/drawing/2014/main" id="{9C5D813F-5775-4BC3-8AA2-0381B71FF790}"/>
            </a:ext>
          </a:extLst>
        </xdr:cNvPr>
        <xdr:cNvSpPr/>
      </xdr:nvSpPr>
      <xdr:spPr>
        <a:xfrm>
          <a:off x="10801350" y="257175"/>
          <a:ext cx="2714625" cy="216217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Enter the height, speed and field-of-view (full angle) and %overlap you</a:t>
          </a:r>
          <a:r>
            <a:rPr lang="en-US" sz="1100" baseline="0"/>
            <a:t> plan to use for the data collection to calculate the line spacing, average point density and point spacing (at nadir).</a:t>
          </a:r>
        </a:p>
        <a:p>
          <a:pPr algn="l"/>
          <a:endParaRPr lang="en-US" sz="1100" baseline="0"/>
        </a:p>
        <a:p>
          <a:pPr algn="l"/>
          <a:r>
            <a:rPr lang="en-US" sz="1100" baseline="0"/>
            <a:t>Do not adjust the other values.</a:t>
          </a:r>
          <a:endParaRPr lang="en-US" sz="1100"/>
        </a:p>
      </xdr:txBody>
    </xdr:sp>
    <xdr:clientData/>
  </xdr:twoCellAnchor>
  <xdr:twoCellAnchor editAs="oneCell">
    <xdr:from>
      <xdr:col>0</xdr:col>
      <xdr:colOff>0</xdr:colOff>
      <xdr:row>45</xdr:row>
      <xdr:rowOff>9525</xdr:rowOff>
    </xdr:from>
    <xdr:to>
      <xdr:col>3</xdr:col>
      <xdr:colOff>18848</xdr:colOff>
      <xdr:row>72</xdr:row>
      <xdr:rowOff>151476</xdr:rowOff>
    </xdr:to>
    <xdr:pic>
      <xdr:nvPicPr>
        <xdr:cNvPr id="3" name="Picture 2">
          <a:extLst>
            <a:ext uri="{FF2B5EF4-FFF2-40B4-BE49-F238E27FC236}">
              <a16:creationId xmlns:a16="http://schemas.microsoft.com/office/drawing/2014/main" id="{6769F086-1121-44AC-8D81-8FCAB0D576AD}"/>
            </a:ext>
          </a:extLst>
        </xdr:cNvPr>
        <xdr:cNvPicPr>
          <a:picLocks noChangeAspect="1"/>
        </xdr:cNvPicPr>
      </xdr:nvPicPr>
      <xdr:blipFill>
        <a:blip xmlns:r="http://schemas.openxmlformats.org/officeDocument/2006/relationships" r:embed="rId1"/>
        <a:stretch>
          <a:fillRect/>
        </a:stretch>
      </xdr:blipFill>
      <xdr:spPr>
        <a:xfrm>
          <a:off x="0" y="8896350"/>
          <a:ext cx="5019473" cy="5294976"/>
        </a:xfrm>
        <a:prstGeom prst="rect">
          <a:avLst/>
        </a:prstGeom>
      </xdr:spPr>
    </xdr:pic>
    <xdr:clientData/>
  </xdr:twoCellAnchor>
  <xdr:twoCellAnchor>
    <xdr:from>
      <xdr:col>8</xdr:col>
      <xdr:colOff>600075</xdr:colOff>
      <xdr:row>16</xdr:row>
      <xdr:rowOff>161925</xdr:rowOff>
    </xdr:from>
    <xdr:to>
      <xdr:col>11</xdr:col>
      <xdr:colOff>523875</xdr:colOff>
      <xdr:row>23</xdr:row>
      <xdr:rowOff>19050</xdr:rowOff>
    </xdr:to>
    <xdr:sp macro="" textlink="">
      <xdr:nvSpPr>
        <xdr:cNvPr id="4" name="Rectangle: Rounded Corners 3">
          <a:extLst>
            <a:ext uri="{FF2B5EF4-FFF2-40B4-BE49-F238E27FC236}">
              <a16:creationId xmlns:a16="http://schemas.microsoft.com/office/drawing/2014/main" id="{00BF2524-59B7-4A15-86FE-0EE4705C5938}"/>
            </a:ext>
          </a:extLst>
        </xdr:cNvPr>
        <xdr:cNvSpPr/>
      </xdr:nvSpPr>
      <xdr:spPr>
        <a:xfrm>
          <a:off x="13668375" y="3314700"/>
          <a:ext cx="1781175" cy="130492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Calculated from flight parameter settings entered.  Excludes impact of flight plan (transit, turns) and overlap.</a:t>
          </a:r>
        </a:p>
      </xdr:txBody>
    </xdr:sp>
    <xdr:clientData/>
  </xdr:twoCellAnchor>
  <xdr:twoCellAnchor>
    <xdr:from>
      <xdr:col>11</xdr:col>
      <xdr:colOff>28575</xdr:colOff>
      <xdr:row>40</xdr:row>
      <xdr:rowOff>0</xdr:rowOff>
    </xdr:from>
    <xdr:to>
      <xdr:col>13</xdr:col>
      <xdr:colOff>438150</xdr:colOff>
      <xdr:row>46</xdr:row>
      <xdr:rowOff>60204</xdr:rowOff>
    </xdr:to>
    <xdr:sp macro="" textlink="">
      <xdr:nvSpPr>
        <xdr:cNvPr id="5" name="Rectangle: Rounded Corners 4">
          <a:extLst>
            <a:ext uri="{FF2B5EF4-FFF2-40B4-BE49-F238E27FC236}">
              <a16:creationId xmlns:a16="http://schemas.microsoft.com/office/drawing/2014/main" id="{DE0DB7B9-3223-4BA5-B49F-F79601D98CBB}"/>
            </a:ext>
          </a:extLst>
        </xdr:cNvPr>
        <xdr:cNvSpPr/>
      </xdr:nvSpPr>
      <xdr:spPr>
        <a:xfrm>
          <a:off x="14954250" y="7924800"/>
          <a:ext cx="1628775" cy="1212729"/>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r>
            <a:rPr lang="en-US" sz="1100" b="1">
              <a:solidFill>
                <a:schemeClr val="lt1"/>
              </a:solidFill>
              <a:latin typeface="+mn-lt"/>
              <a:ea typeface="+mn-ea"/>
              <a:cs typeface="+mn-cs"/>
            </a:rPr>
            <a:t>Enter these paramaters based on your drone platform and flight plan.</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5</xdr:col>
      <xdr:colOff>19050</xdr:colOff>
      <xdr:row>1</xdr:row>
      <xdr:rowOff>9525</xdr:rowOff>
    </xdr:from>
    <xdr:to>
      <xdr:col>8</xdr:col>
      <xdr:colOff>447675</xdr:colOff>
      <xdr:row>12</xdr:row>
      <xdr:rowOff>47625</xdr:rowOff>
    </xdr:to>
    <xdr:sp macro="" textlink="">
      <xdr:nvSpPr>
        <xdr:cNvPr id="6" name="Rectangle: Rounded Corners 5">
          <a:extLst>
            <a:ext uri="{FF2B5EF4-FFF2-40B4-BE49-F238E27FC236}">
              <a16:creationId xmlns:a16="http://schemas.microsoft.com/office/drawing/2014/main" id="{3E131C3F-F49F-4BED-B716-399138B7912B}"/>
            </a:ext>
          </a:extLst>
        </xdr:cNvPr>
        <xdr:cNvSpPr/>
      </xdr:nvSpPr>
      <xdr:spPr>
        <a:xfrm>
          <a:off x="10801350" y="257175"/>
          <a:ext cx="2714625" cy="216217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Enter the height, speed and field-of-view (full angle) and %overlap you</a:t>
          </a:r>
          <a:r>
            <a:rPr lang="en-US" sz="1100" baseline="0"/>
            <a:t> plan to use for the data collection to calculate the line spacing, average point density and point spacing (at nadir).</a:t>
          </a:r>
        </a:p>
        <a:p>
          <a:pPr algn="l"/>
          <a:endParaRPr lang="en-US" sz="1100" baseline="0"/>
        </a:p>
        <a:p>
          <a:pPr algn="l"/>
          <a:r>
            <a:rPr lang="en-US" sz="1100" baseline="0"/>
            <a:t>Do not adjust the other values.</a:t>
          </a:r>
          <a:endParaRPr lang="en-US" sz="1100"/>
        </a:p>
      </xdr:txBody>
    </xdr:sp>
    <xdr:clientData/>
  </xdr:twoCellAnchor>
  <xdr:twoCellAnchor editAs="oneCell">
    <xdr:from>
      <xdr:col>0</xdr:col>
      <xdr:colOff>0</xdr:colOff>
      <xdr:row>45</xdr:row>
      <xdr:rowOff>9525</xdr:rowOff>
    </xdr:from>
    <xdr:to>
      <xdr:col>3</xdr:col>
      <xdr:colOff>18848</xdr:colOff>
      <xdr:row>72</xdr:row>
      <xdr:rowOff>151476</xdr:rowOff>
    </xdr:to>
    <xdr:pic>
      <xdr:nvPicPr>
        <xdr:cNvPr id="7" name="Picture 6">
          <a:extLst>
            <a:ext uri="{FF2B5EF4-FFF2-40B4-BE49-F238E27FC236}">
              <a16:creationId xmlns:a16="http://schemas.microsoft.com/office/drawing/2014/main" id="{2EBE78CA-1B84-414F-A9A5-1615E1B3830D}"/>
            </a:ext>
          </a:extLst>
        </xdr:cNvPr>
        <xdr:cNvPicPr>
          <a:picLocks noChangeAspect="1"/>
        </xdr:cNvPicPr>
      </xdr:nvPicPr>
      <xdr:blipFill>
        <a:blip xmlns:r="http://schemas.openxmlformats.org/officeDocument/2006/relationships" r:embed="rId1"/>
        <a:stretch>
          <a:fillRect/>
        </a:stretch>
      </xdr:blipFill>
      <xdr:spPr>
        <a:xfrm>
          <a:off x="0" y="8896350"/>
          <a:ext cx="5019473" cy="5285451"/>
        </a:xfrm>
        <a:prstGeom prst="rect">
          <a:avLst/>
        </a:prstGeom>
      </xdr:spPr>
    </xdr:pic>
    <xdr:clientData/>
  </xdr:twoCellAnchor>
  <xdr:twoCellAnchor>
    <xdr:from>
      <xdr:col>8</xdr:col>
      <xdr:colOff>600075</xdr:colOff>
      <xdr:row>16</xdr:row>
      <xdr:rowOff>161925</xdr:rowOff>
    </xdr:from>
    <xdr:to>
      <xdr:col>11</xdr:col>
      <xdr:colOff>523875</xdr:colOff>
      <xdr:row>23</xdr:row>
      <xdr:rowOff>19050</xdr:rowOff>
    </xdr:to>
    <xdr:sp macro="" textlink="">
      <xdr:nvSpPr>
        <xdr:cNvPr id="8" name="Rectangle: Rounded Corners 7">
          <a:extLst>
            <a:ext uri="{FF2B5EF4-FFF2-40B4-BE49-F238E27FC236}">
              <a16:creationId xmlns:a16="http://schemas.microsoft.com/office/drawing/2014/main" id="{66B8A860-3F8E-4918-9E0F-FE760B51879F}"/>
            </a:ext>
          </a:extLst>
        </xdr:cNvPr>
        <xdr:cNvSpPr/>
      </xdr:nvSpPr>
      <xdr:spPr>
        <a:xfrm>
          <a:off x="13668375" y="3314700"/>
          <a:ext cx="1752600" cy="130492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Calculated from flight parameter settings entered.  Excludes impact of flight plan (transit, turns) and overlap.</a:t>
          </a:r>
        </a:p>
      </xdr:txBody>
    </xdr:sp>
    <xdr:clientData/>
  </xdr:twoCellAnchor>
  <xdr:twoCellAnchor>
    <xdr:from>
      <xdr:col>11</xdr:col>
      <xdr:colOff>28575</xdr:colOff>
      <xdr:row>40</xdr:row>
      <xdr:rowOff>0</xdr:rowOff>
    </xdr:from>
    <xdr:to>
      <xdr:col>13</xdr:col>
      <xdr:colOff>438150</xdr:colOff>
      <xdr:row>46</xdr:row>
      <xdr:rowOff>60204</xdr:rowOff>
    </xdr:to>
    <xdr:sp macro="" textlink="">
      <xdr:nvSpPr>
        <xdr:cNvPr id="9" name="Rectangle: Rounded Corners 8">
          <a:extLst>
            <a:ext uri="{FF2B5EF4-FFF2-40B4-BE49-F238E27FC236}">
              <a16:creationId xmlns:a16="http://schemas.microsoft.com/office/drawing/2014/main" id="{22783A0A-D976-46E7-A8A6-02E05FEBC0CF}"/>
            </a:ext>
          </a:extLst>
        </xdr:cNvPr>
        <xdr:cNvSpPr/>
      </xdr:nvSpPr>
      <xdr:spPr>
        <a:xfrm>
          <a:off x="14925675" y="7924800"/>
          <a:ext cx="1628775" cy="1212729"/>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r>
            <a:rPr lang="en-US" sz="1100" b="1">
              <a:solidFill>
                <a:schemeClr val="lt1"/>
              </a:solidFill>
              <a:latin typeface="+mn-lt"/>
              <a:ea typeface="+mn-ea"/>
              <a:cs typeface="+mn-cs"/>
            </a:rPr>
            <a:t>Enter these paramaters based on your drone platform and flight plan.</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5</xdr:col>
      <xdr:colOff>19050</xdr:colOff>
      <xdr:row>1</xdr:row>
      <xdr:rowOff>9525</xdr:rowOff>
    </xdr:from>
    <xdr:to>
      <xdr:col>8</xdr:col>
      <xdr:colOff>447675</xdr:colOff>
      <xdr:row>12</xdr:row>
      <xdr:rowOff>47625</xdr:rowOff>
    </xdr:to>
    <xdr:sp macro="" textlink="">
      <xdr:nvSpPr>
        <xdr:cNvPr id="2" name="Rectangle: Rounded Corners 1">
          <a:extLst>
            <a:ext uri="{FF2B5EF4-FFF2-40B4-BE49-F238E27FC236}">
              <a16:creationId xmlns:a16="http://schemas.microsoft.com/office/drawing/2014/main" id="{1DFD9EB7-DCF1-4752-9FA7-2CCFA1C29F95}"/>
            </a:ext>
          </a:extLst>
        </xdr:cNvPr>
        <xdr:cNvSpPr/>
      </xdr:nvSpPr>
      <xdr:spPr>
        <a:xfrm>
          <a:off x="10801350" y="257175"/>
          <a:ext cx="2714625" cy="216217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Enter the height, speed and field-of-view (full angle) and %overlap you</a:t>
          </a:r>
          <a:r>
            <a:rPr lang="en-US" sz="1100" baseline="0"/>
            <a:t> plan to use for the data collection to calculate the line spacing, average point density and point spacing (at nadir).</a:t>
          </a:r>
        </a:p>
        <a:p>
          <a:pPr algn="l"/>
          <a:endParaRPr lang="en-US" sz="1100" baseline="0"/>
        </a:p>
        <a:p>
          <a:pPr algn="l"/>
          <a:r>
            <a:rPr lang="en-US" sz="1100" baseline="0"/>
            <a:t>Do not adjust the other values.</a:t>
          </a:r>
          <a:endParaRPr lang="en-US" sz="1100"/>
        </a:p>
      </xdr:txBody>
    </xdr:sp>
    <xdr:clientData/>
  </xdr:twoCellAnchor>
  <xdr:twoCellAnchor editAs="oneCell">
    <xdr:from>
      <xdr:col>0</xdr:col>
      <xdr:colOff>0</xdr:colOff>
      <xdr:row>45</xdr:row>
      <xdr:rowOff>9525</xdr:rowOff>
    </xdr:from>
    <xdr:to>
      <xdr:col>3</xdr:col>
      <xdr:colOff>18848</xdr:colOff>
      <xdr:row>72</xdr:row>
      <xdr:rowOff>161001</xdr:rowOff>
    </xdr:to>
    <xdr:pic>
      <xdr:nvPicPr>
        <xdr:cNvPr id="3" name="Picture 2">
          <a:extLst>
            <a:ext uri="{FF2B5EF4-FFF2-40B4-BE49-F238E27FC236}">
              <a16:creationId xmlns:a16="http://schemas.microsoft.com/office/drawing/2014/main" id="{78AE61B2-DDD2-4310-896B-2894AF615333}"/>
            </a:ext>
          </a:extLst>
        </xdr:cNvPr>
        <xdr:cNvPicPr>
          <a:picLocks noChangeAspect="1"/>
        </xdr:cNvPicPr>
      </xdr:nvPicPr>
      <xdr:blipFill>
        <a:blip xmlns:r="http://schemas.openxmlformats.org/officeDocument/2006/relationships" r:embed="rId1"/>
        <a:stretch>
          <a:fillRect/>
        </a:stretch>
      </xdr:blipFill>
      <xdr:spPr>
        <a:xfrm>
          <a:off x="0" y="8896350"/>
          <a:ext cx="5019473" cy="5294976"/>
        </a:xfrm>
        <a:prstGeom prst="rect">
          <a:avLst/>
        </a:prstGeom>
      </xdr:spPr>
    </xdr:pic>
    <xdr:clientData/>
  </xdr:twoCellAnchor>
  <xdr:twoCellAnchor>
    <xdr:from>
      <xdr:col>8</xdr:col>
      <xdr:colOff>600075</xdr:colOff>
      <xdr:row>16</xdr:row>
      <xdr:rowOff>161925</xdr:rowOff>
    </xdr:from>
    <xdr:to>
      <xdr:col>11</xdr:col>
      <xdr:colOff>523875</xdr:colOff>
      <xdr:row>23</xdr:row>
      <xdr:rowOff>19050</xdr:rowOff>
    </xdr:to>
    <xdr:sp macro="" textlink="">
      <xdr:nvSpPr>
        <xdr:cNvPr id="4" name="Rectangle: Rounded Corners 3">
          <a:extLst>
            <a:ext uri="{FF2B5EF4-FFF2-40B4-BE49-F238E27FC236}">
              <a16:creationId xmlns:a16="http://schemas.microsoft.com/office/drawing/2014/main" id="{3DD8DB07-8F56-470D-941C-5F4F9E54209B}"/>
            </a:ext>
          </a:extLst>
        </xdr:cNvPr>
        <xdr:cNvSpPr/>
      </xdr:nvSpPr>
      <xdr:spPr>
        <a:xfrm>
          <a:off x="13668375" y="3314700"/>
          <a:ext cx="1781175" cy="130492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Calculated from flight parameter settings entered.  Excludes impact of flight plan (transit, turns) and overlap.</a:t>
          </a:r>
        </a:p>
      </xdr:txBody>
    </xdr:sp>
    <xdr:clientData/>
  </xdr:twoCellAnchor>
  <xdr:twoCellAnchor>
    <xdr:from>
      <xdr:col>11</xdr:col>
      <xdr:colOff>28575</xdr:colOff>
      <xdr:row>40</xdr:row>
      <xdr:rowOff>0</xdr:rowOff>
    </xdr:from>
    <xdr:to>
      <xdr:col>13</xdr:col>
      <xdr:colOff>438150</xdr:colOff>
      <xdr:row>46</xdr:row>
      <xdr:rowOff>60204</xdr:rowOff>
    </xdr:to>
    <xdr:sp macro="" textlink="">
      <xdr:nvSpPr>
        <xdr:cNvPr id="5" name="Rectangle: Rounded Corners 4">
          <a:extLst>
            <a:ext uri="{FF2B5EF4-FFF2-40B4-BE49-F238E27FC236}">
              <a16:creationId xmlns:a16="http://schemas.microsoft.com/office/drawing/2014/main" id="{A7237666-C3F8-41C5-B5B1-63F101D018B5}"/>
            </a:ext>
          </a:extLst>
        </xdr:cNvPr>
        <xdr:cNvSpPr/>
      </xdr:nvSpPr>
      <xdr:spPr>
        <a:xfrm>
          <a:off x="14954250" y="7924800"/>
          <a:ext cx="1628775" cy="1212729"/>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r>
            <a:rPr lang="en-US" sz="1100" b="1">
              <a:solidFill>
                <a:schemeClr val="lt1"/>
              </a:solidFill>
              <a:latin typeface="+mn-lt"/>
              <a:ea typeface="+mn-ea"/>
              <a:cs typeface="+mn-cs"/>
            </a:rPr>
            <a:t>Enter these paramaters based on your drone platform and flight plan.</a:t>
          </a:r>
        </a:p>
      </xdr:txBody>
    </xdr:sp>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6622D2-B6B7-4E08-83EA-4E00E342E63D}">
  <sheetPr>
    <tabColor theme="5" tint="0.39997558519241921"/>
  </sheetPr>
  <dimension ref="A1:Z34"/>
  <sheetViews>
    <sheetView workbookViewId="0">
      <selection activeCell="Y35" sqref="Y35"/>
    </sheetView>
  </sheetViews>
  <sheetFormatPr defaultRowHeight="15" x14ac:dyDescent="0.25"/>
  <cols>
    <col min="1" max="1" width="23.5703125" customWidth="1"/>
    <col min="18" max="18" width="8.42578125" customWidth="1"/>
    <col min="23" max="23" width="19.140625" bestFit="1" customWidth="1"/>
  </cols>
  <sheetData>
    <row r="1" spans="1:23" ht="30.75" customHeight="1" thickBot="1" x14ac:dyDescent="0.3">
      <c r="A1" s="229" t="s">
        <v>163</v>
      </c>
      <c r="B1" s="231" t="s">
        <v>165</v>
      </c>
      <c r="C1" s="232"/>
      <c r="D1" s="232"/>
      <c r="E1" s="232"/>
      <c r="F1" s="232"/>
      <c r="G1" s="232"/>
      <c r="H1" s="232"/>
      <c r="I1" s="232"/>
      <c r="J1" s="232"/>
      <c r="K1" s="232"/>
      <c r="L1" s="232"/>
      <c r="M1" s="232"/>
      <c r="N1" s="232"/>
      <c r="O1" s="232"/>
      <c r="P1" s="232"/>
      <c r="Q1" s="232"/>
      <c r="R1" s="232"/>
      <c r="S1" s="232"/>
      <c r="T1" s="232"/>
      <c r="U1" s="232"/>
      <c r="V1" s="233"/>
      <c r="W1" s="103"/>
    </row>
    <row r="2" spans="1:23" ht="15.75" thickBot="1" x14ac:dyDescent="0.3">
      <c r="A2" s="230"/>
      <c r="B2" s="143">
        <v>20</v>
      </c>
      <c r="C2" s="144">
        <v>25</v>
      </c>
      <c r="D2" s="144">
        <v>30</v>
      </c>
      <c r="E2" s="144">
        <v>35</v>
      </c>
      <c r="F2" s="144">
        <v>40</v>
      </c>
      <c r="G2" s="144">
        <v>45</v>
      </c>
      <c r="H2" s="144">
        <v>50</v>
      </c>
      <c r="I2" s="144">
        <v>55</v>
      </c>
      <c r="J2" s="144">
        <v>60</v>
      </c>
      <c r="K2" s="144">
        <v>65</v>
      </c>
      <c r="L2" s="149">
        <v>70</v>
      </c>
      <c r="M2" s="154">
        <v>75</v>
      </c>
      <c r="N2" s="187">
        <v>80</v>
      </c>
      <c r="O2" s="154">
        <v>85</v>
      </c>
      <c r="P2" s="153">
        <v>90</v>
      </c>
      <c r="Q2" s="149">
        <v>95</v>
      </c>
      <c r="R2" s="154">
        <v>100</v>
      </c>
      <c r="S2" s="153">
        <v>105</v>
      </c>
      <c r="T2" s="144">
        <v>110</v>
      </c>
      <c r="U2" s="144">
        <v>115</v>
      </c>
      <c r="V2" s="145">
        <v>120</v>
      </c>
      <c r="W2" s="142" t="s">
        <v>161</v>
      </c>
    </row>
    <row r="3" spans="1:23" x14ac:dyDescent="0.25">
      <c r="A3" s="139">
        <v>5</v>
      </c>
      <c r="B3" s="146">
        <f t="shared" ref="B3:Q14" si="0">2*B$2*TAN($A3*PI()/180)</f>
        <v>3.4995465410369602</v>
      </c>
      <c r="C3" s="110">
        <f t="shared" si="0"/>
        <v>4.3744331762962005</v>
      </c>
      <c r="D3" s="110">
        <f t="shared" si="0"/>
        <v>5.2493198115554405</v>
      </c>
      <c r="E3" s="110">
        <f t="shared" si="0"/>
        <v>6.1242064468146804</v>
      </c>
      <c r="F3" s="110">
        <f t="shared" si="0"/>
        <v>6.9990930820739203</v>
      </c>
      <c r="G3" s="110">
        <f t="shared" si="0"/>
        <v>7.8739797173331603</v>
      </c>
      <c r="H3" s="110">
        <f t="shared" si="0"/>
        <v>8.7488663525924011</v>
      </c>
      <c r="I3" s="110">
        <f t="shared" si="0"/>
        <v>9.6237529878516401</v>
      </c>
      <c r="J3" s="111">
        <f t="shared" si="0"/>
        <v>10.498639623110881</v>
      </c>
      <c r="K3" s="110">
        <f t="shared" si="0"/>
        <v>11.373526258370122</v>
      </c>
      <c r="L3" s="150">
        <f t="shared" si="0"/>
        <v>12.248412893629361</v>
      </c>
      <c r="M3" s="155">
        <f t="shared" si="0"/>
        <v>13.123299528888602</v>
      </c>
      <c r="N3" s="188">
        <f t="shared" si="0"/>
        <v>13.998186164147841</v>
      </c>
      <c r="O3" s="155">
        <f t="shared" si="0"/>
        <v>14.873072799407081</v>
      </c>
      <c r="P3" s="112">
        <f t="shared" si="0"/>
        <v>15.747959434666321</v>
      </c>
      <c r="Q3" s="150">
        <f t="shared" si="0"/>
        <v>16.622846069925561</v>
      </c>
      <c r="R3" s="155">
        <f t="shared" ref="R3:V14" si="1">2*R$2*TAN($A3*PI()/180)</f>
        <v>17.497732705184802</v>
      </c>
      <c r="S3" s="112">
        <f t="shared" si="1"/>
        <v>18.372619340444043</v>
      </c>
      <c r="T3" s="110">
        <f t="shared" si="1"/>
        <v>19.24750597570328</v>
      </c>
      <c r="U3" s="110">
        <f t="shared" si="1"/>
        <v>20.122392610962521</v>
      </c>
      <c r="V3" s="109">
        <f t="shared" si="1"/>
        <v>20.997279246221762</v>
      </c>
      <c r="W3" s="103"/>
    </row>
    <row r="4" spans="1:23" x14ac:dyDescent="0.25">
      <c r="A4" s="140">
        <v>10</v>
      </c>
      <c r="B4" s="146">
        <f t="shared" si="0"/>
        <v>7.053079228338599</v>
      </c>
      <c r="C4" s="110">
        <f t="shared" si="0"/>
        <v>8.816349035423249</v>
      </c>
      <c r="D4" s="110">
        <f t="shared" si="0"/>
        <v>10.579618842507898</v>
      </c>
      <c r="E4" s="110">
        <f t="shared" si="0"/>
        <v>12.342888649592549</v>
      </c>
      <c r="F4" s="110">
        <f t="shared" si="0"/>
        <v>14.106158456677198</v>
      </c>
      <c r="G4" s="110">
        <f t="shared" si="0"/>
        <v>15.869428263761847</v>
      </c>
      <c r="H4" s="110">
        <f t="shared" si="0"/>
        <v>17.632698070846498</v>
      </c>
      <c r="I4" s="110">
        <f t="shared" si="0"/>
        <v>19.395967877931149</v>
      </c>
      <c r="J4" s="111">
        <f t="shared" si="0"/>
        <v>21.159237685015796</v>
      </c>
      <c r="K4" s="110">
        <f t="shared" si="0"/>
        <v>22.922507492100447</v>
      </c>
      <c r="L4" s="150">
        <f t="shared" si="0"/>
        <v>24.685777299185098</v>
      </c>
      <c r="M4" s="155">
        <f t="shared" si="0"/>
        <v>26.449047106269745</v>
      </c>
      <c r="N4" s="188">
        <f t="shared" si="0"/>
        <v>28.212316913354396</v>
      </c>
      <c r="O4" s="155">
        <f t="shared" si="0"/>
        <v>29.975586720439047</v>
      </c>
      <c r="P4" s="112">
        <f t="shared" si="0"/>
        <v>31.738856527523694</v>
      </c>
      <c r="Q4" s="150">
        <f t="shared" si="0"/>
        <v>33.502126334608349</v>
      </c>
      <c r="R4" s="155">
        <f t="shared" si="1"/>
        <v>35.265396141692996</v>
      </c>
      <c r="S4" s="112">
        <f t="shared" si="1"/>
        <v>37.028665948777643</v>
      </c>
      <c r="T4" s="110">
        <f t="shared" si="1"/>
        <v>38.791935755862298</v>
      </c>
      <c r="U4" s="110">
        <f t="shared" si="1"/>
        <v>40.555205562946945</v>
      </c>
      <c r="V4" s="109">
        <f t="shared" si="1"/>
        <v>42.318475370031592</v>
      </c>
      <c r="W4" s="103"/>
    </row>
    <row r="5" spans="1:23" x14ac:dyDescent="0.25">
      <c r="A5" s="140">
        <v>15</v>
      </c>
      <c r="B5" s="146">
        <f t="shared" si="0"/>
        <v>10.717967697244909</v>
      </c>
      <c r="C5" s="110">
        <f t="shared" si="0"/>
        <v>13.397459621556134</v>
      </c>
      <c r="D5" s="110">
        <f t="shared" si="0"/>
        <v>16.076951545867363</v>
      </c>
      <c r="E5" s="110">
        <f t="shared" si="0"/>
        <v>18.756443470178588</v>
      </c>
      <c r="F5" s="110">
        <f t="shared" si="0"/>
        <v>21.435935394489817</v>
      </c>
      <c r="G5" s="110">
        <f t="shared" si="0"/>
        <v>24.115427318801043</v>
      </c>
      <c r="H5" s="110">
        <f t="shared" si="0"/>
        <v>26.794919243112268</v>
      </c>
      <c r="I5" s="110">
        <f t="shared" si="0"/>
        <v>29.474411167423497</v>
      </c>
      <c r="J5" s="111">
        <f t="shared" si="0"/>
        <v>32.153903091734726</v>
      </c>
      <c r="K5" s="110">
        <f t="shared" si="0"/>
        <v>34.833395016045948</v>
      </c>
      <c r="L5" s="150">
        <f t="shared" si="0"/>
        <v>37.512886940357177</v>
      </c>
      <c r="M5" s="155">
        <f t="shared" si="0"/>
        <v>40.192378864668406</v>
      </c>
      <c r="N5" s="188">
        <f t="shared" si="0"/>
        <v>42.871870788979635</v>
      </c>
      <c r="O5" s="155">
        <f t="shared" si="0"/>
        <v>45.551362713290857</v>
      </c>
      <c r="P5" s="112">
        <f t="shared" si="0"/>
        <v>48.230854637602086</v>
      </c>
      <c r="Q5" s="150">
        <f t="shared" si="0"/>
        <v>50.910346561913315</v>
      </c>
      <c r="R5" s="155">
        <f t="shared" si="1"/>
        <v>53.589838486224536</v>
      </c>
      <c r="S5" s="112">
        <f t="shared" si="1"/>
        <v>56.269330410535765</v>
      </c>
      <c r="T5" s="110">
        <f t="shared" si="1"/>
        <v>58.948822334846994</v>
      </c>
      <c r="U5" s="110">
        <f t="shared" si="1"/>
        <v>61.628314259158223</v>
      </c>
      <c r="V5" s="109">
        <f t="shared" si="1"/>
        <v>64.307806183469452</v>
      </c>
      <c r="W5" s="103"/>
    </row>
    <row r="6" spans="1:23" x14ac:dyDescent="0.25">
      <c r="A6" s="140">
        <v>20</v>
      </c>
      <c r="B6" s="146">
        <f t="shared" si="0"/>
        <v>14.558809370648094</v>
      </c>
      <c r="C6" s="110">
        <f t="shared" si="0"/>
        <v>18.198511713310118</v>
      </c>
      <c r="D6" s="110">
        <f t="shared" si="0"/>
        <v>21.838214055972141</v>
      </c>
      <c r="E6" s="110">
        <f t="shared" si="0"/>
        <v>25.477916398634164</v>
      </c>
      <c r="F6" s="110">
        <f t="shared" si="0"/>
        <v>29.117618741296187</v>
      </c>
      <c r="G6" s="110">
        <f t="shared" si="0"/>
        <v>32.75732108395821</v>
      </c>
      <c r="H6" s="110">
        <f t="shared" si="0"/>
        <v>36.397023426620237</v>
      </c>
      <c r="I6" s="110">
        <f t="shared" si="0"/>
        <v>40.036725769282256</v>
      </c>
      <c r="J6" s="111">
        <f t="shared" si="0"/>
        <v>43.676428111944283</v>
      </c>
      <c r="K6" s="110">
        <f t="shared" si="0"/>
        <v>47.316130454606302</v>
      </c>
      <c r="L6" s="150">
        <f t="shared" si="0"/>
        <v>50.955832797268329</v>
      </c>
      <c r="M6" s="155">
        <f t="shared" si="0"/>
        <v>54.595535139930348</v>
      </c>
      <c r="N6" s="188">
        <f t="shared" si="0"/>
        <v>58.235237482592375</v>
      </c>
      <c r="O6" s="155">
        <f t="shared" si="0"/>
        <v>61.874939825254401</v>
      </c>
      <c r="P6" s="112">
        <f t="shared" si="0"/>
        <v>65.514642167916421</v>
      </c>
      <c r="Q6" s="150">
        <f t="shared" si="0"/>
        <v>69.15434451057844</v>
      </c>
      <c r="R6" s="155">
        <f t="shared" si="1"/>
        <v>72.794046853240474</v>
      </c>
      <c r="S6" s="112">
        <f t="shared" si="1"/>
        <v>76.433749195902493</v>
      </c>
      <c r="T6" s="110">
        <f t="shared" si="1"/>
        <v>80.073451538564512</v>
      </c>
      <c r="U6" s="110">
        <f t="shared" si="1"/>
        <v>83.713153881226532</v>
      </c>
      <c r="V6" s="109">
        <f t="shared" si="1"/>
        <v>87.352856223888566</v>
      </c>
      <c r="W6" s="103"/>
    </row>
    <row r="7" spans="1:23" x14ac:dyDescent="0.25">
      <c r="A7" s="140">
        <v>25</v>
      </c>
      <c r="B7" s="146">
        <f t="shared" si="0"/>
        <v>18.652306326199945</v>
      </c>
      <c r="C7" s="110">
        <f t="shared" si="0"/>
        <v>23.315382907749928</v>
      </c>
      <c r="D7" s="110">
        <f t="shared" si="0"/>
        <v>27.978459489299915</v>
      </c>
      <c r="E7" s="110">
        <f t="shared" si="0"/>
        <v>32.641536070849902</v>
      </c>
      <c r="F7" s="110">
        <f t="shared" si="0"/>
        <v>37.304612652399889</v>
      </c>
      <c r="G7" s="110">
        <f t="shared" si="0"/>
        <v>41.967689233949869</v>
      </c>
      <c r="H7" s="110">
        <f t="shared" si="0"/>
        <v>46.630765815499856</v>
      </c>
      <c r="I7" s="110">
        <f t="shared" si="0"/>
        <v>51.293842397049843</v>
      </c>
      <c r="J7" s="111">
        <f t="shared" si="0"/>
        <v>55.95691897859983</v>
      </c>
      <c r="K7" s="110">
        <f t="shared" si="0"/>
        <v>60.619995560149817</v>
      </c>
      <c r="L7" s="150">
        <f t="shared" si="0"/>
        <v>65.283072141699805</v>
      </c>
      <c r="M7" s="155">
        <f t="shared" si="0"/>
        <v>69.946148723249792</v>
      </c>
      <c r="N7" s="188">
        <f t="shared" si="0"/>
        <v>74.609225304799779</v>
      </c>
      <c r="O7" s="155">
        <f t="shared" si="0"/>
        <v>79.272301886349766</v>
      </c>
      <c r="P7" s="112">
        <f t="shared" si="0"/>
        <v>83.935378467899739</v>
      </c>
      <c r="Q7" s="150">
        <f t="shared" si="0"/>
        <v>88.598455049449726</v>
      </c>
      <c r="R7" s="155">
        <f t="shared" si="1"/>
        <v>93.261531630999713</v>
      </c>
      <c r="S7" s="112">
        <f t="shared" si="1"/>
        <v>97.9246082125497</v>
      </c>
      <c r="T7" s="110">
        <f t="shared" si="1"/>
        <v>102.58768479409969</v>
      </c>
      <c r="U7" s="110">
        <f t="shared" si="1"/>
        <v>107.25076137564967</v>
      </c>
      <c r="V7" s="109">
        <f t="shared" si="1"/>
        <v>111.91383795719966</v>
      </c>
      <c r="W7" s="103"/>
    </row>
    <row r="8" spans="1:23" x14ac:dyDescent="0.25">
      <c r="A8" s="140">
        <v>30</v>
      </c>
      <c r="B8" s="146">
        <f t="shared" si="0"/>
        <v>23.094010767585029</v>
      </c>
      <c r="C8" s="110">
        <f t="shared" si="0"/>
        <v>28.867513459481287</v>
      </c>
      <c r="D8" s="110">
        <f t="shared" si="0"/>
        <v>34.641016151377542</v>
      </c>
      <c r="E8" s="110">
        <f t="shared" si="0"/>
        <v>40.414518843273804</v>
      </c>
      <c r="F8" s="110">
        <f t="shared" si="0"/>
        <v>46.188021535170058</v>
      </c>
      <c r="G8" s="110">
        <f t="shared" si="0"/>
        <v>51.961524227066313</v>
      </c>
      <c r="H8" s="110">
        <f t="shared" si="0"/>
        <v>57.735026918962575</v>
      </c>
      <c r="I8" s="110">
        <f t="shared" si="0"/>
        <v>63.50852961085883</v>
      </c>
      <c r="J8" s="111">
        <f t="shared" si="0"/>
        <v>69.282032302755084</v>
      </c>
      <c r="K8" s="110">
        <f t="shared" si="0"/>
        <v>75.055534994651339</v>
      </c>
      <c r="L8" s="150">
        <f t="shared" si="0"/>
        <v>80.829037686547608</v>
      </c>
      <c r="M8" s="155">
        <f t="shared" si="0"/>
        <v>86.602540378443862</v>
      </c>
      <c r="N8" s="188">
        <f t="shared" si="0"/>
        <v>92.376043070340117</v>
      </c>
      <c r="O8" s="155">
        <f t="shared" si="0"/>
        <v>98.149545762236372</v>
      </c>
      <c r="P8" s="112">
        <f t="shared" si="0"/>
        <v>103.92304845413263</v>
      </c>
      <c r="Q8" s="150">
        <f t="shared" si="0"/>
        <v>109.6965511460289</v>
      </c>
      <c r="R8" s="155">
        <f t="shared" si="1"/>
        <v>115.47005383792515</v>
      </c>
      <c r="S8" s="112">
        <f t="shared" si="1"/>
        <v>121.2435565298214</v>
      </c>
      <c r="T8" s="110">
        <f t="shared" si="1"/>
        <v>127.01705922171766</v>
      </c>
      <c r="U8" s="110">
        <f t="shared" si="1"/>
        <v>132.79056191361391</v>
      </c>
      <c r="V8" s="109">
        <f t="shared" si="1"/>
        <v>138.56406460551017</v>
      </c>
      <c r="W8" s="103"/>
    </row>
    <row r="9" spans="1:23" x14ac:dyDescent="0.25">
      <c r="A9" s="140">
        <v>35</v>
      </c>
      <c r="B9" s="146">
        <f t="shared" si="0"/>
        <v>28.008301528388387</v>
      </c>
      <c r="C9" s="110">
        <f t="shared" si="0"/>
        <v>35.010376910485483</v>
      </c>
      <c r="D9" s="110">
        <f t="shared" si="0"/>
        <v>42.01245229258258</v>
      </c>
      <c r="E9" s="110">
        <f t="shared" si="0"/>
        <v>49.014527674679677</v>
      </c>
      <c r="F9" s="110">
        <f t="shared" si="0"/>
        <v>56.016603056776773</v>
      </c>
      <c r="G9" s="110">
        <f t="shared" si="0"/>
        <v>63.018678438873877</v>
      </c>
      <c r="H9" s="110">
        <f t="shared" si="0"/>
        <v>70.020753820970967</v>
      </c>
      <c r="I9" s="110">
        <f t="shared" si="0"/>
        <v>77.022829203068071</v>
      </c>
      <c r="J9" s="111">
        <f t="shared" si="0"/>
        <v>84.02490458516516</v>
      </c>
      <c r="K9" s="110">
        <f t="shared" si="0"/>
        <v>91.026979967262264</v>
      </c>
      <c r="L9" s="150">
        <f t="shared" si="0"/>
        <v>98.029055349359353</v>
      </c>
      <c r="M9" s="155">
        <f t="shared" si="0"/>
        <v>105.03113073145646</v>
      </c>
      <c r="N9" s="188">
        <f t="shared" si="0"/>
        <v>112.03320611355355</v>
      </c>
      <c r="O9" s="155">
        <f t="shared" si="0"/>
        <v>119.03528149565065</v>
      </c>
      <c r="P9" s="112">
        <f t="shared" si="0"/>
        <v>126.03735687774775</v>
      </c>
      <c r="Q9" s="150">
        <f t="shared" si="0"/>
        <v>133.03943225984486</v>
      </c>
      <c r="R9" s="155">
        <f t="shared" si="1"/>
        <v>140.04150764194193</v>
      </c>
      <c r="S9" s="112">
        <f t="shared" si="1"/>
        <v>147.04358302403904</v>
      </c>
      <c r="T9" s="110">
        <f t="shared" si="1"/>
        <v>154.04565840613614</v>
      </c>
      <c r="U9" s="110">
        <f t="shared" si="1"/>
        <v>161.04773378823324</v>
      </c>
      <c r="V9" s="109">
        <f t="shared" si="1"/>
        <v>168.04980917033032</v>
      </c>
      <c r="W9" s="103"/>
    </row>
    <row r="10" spans="1:23" x14ac:dyDescent="0.25">
      <c r="A10" s="140">
        <v>40</v>
      </c>
      <c r="B10" s="147">
        <f t="shared" si="0"/>
        <v>33.563985247091196</v>
      </c>
      <c r="C10" s="111">
        <f t="shared" si="0"/>
        <v>41.954981558863999</v>
      </c>
      <c r="D10" s="111">
        <f t="shared" si="0"/>
        <v>50.345977870636794</v>
      </c>
      <c r="E10" s="111">
        <f t="shared" si="0"/>
        <v>58.736974182409597</v>
      </c>
      <c r="F10" s="111">
        <f t="shared" si="0"/>
        <v>67.127970494182392</v>
      </c>
      <c r="G10" s="111">
        <f t="shared" si="0"/>
        <v>75.518966805955188</v>
      </c>
      <c r="H10" s="111">
        <f t="shared" si="0"/>
        <v>83.909963117727997</v>
      </c>
      <c r="I10" s="111">
        <f t="shared" si="0"/>
        <v>92.300959429500793</v>
      </c>
      <c r="J10" s="111">
        <f t="shared" si="0"/>
        <v>100.69195574127359</v>
      </c>
      <c r="K10" s="111">
        <f t="shared" si="0"/>
        <v>109.08295205304638</v>
      </c>
      <c r="L10" s="151">
        <f t="shared" si="0"/>
        <v>117.47394836481919</v>
      </c>
      <c r="M10" s="156">
        <f t="shared" si="0"/>
        <v>125.86494467659199</v>
      </c>
      <c r="N10" s="189">
        <f t="shared" si="0"/>
        <v>134.25594098836478</v>
      </c>
      <c r="O10" s="156">
        <f t="shared" si="0"/>
        <v>142.64693730013758</v>
      </c>
      <c r="P10" s="114">
        <f t="shared" si="0"/>
        <v>151.03793361191038</v>
      </c>
      <c r="Q10" s="151">
        <f t="shared" si="0"/>
        <v>159.4289299236832</v>
      </c>
      <c r="R10" s="156">
        <f t="shared" si="1"/>
        <v>167.81992623545599</v>
      </c>
      <c r="S10" s="114">
        <f t="shared" si="1"/>
        <v>176.21092254722879</v>
      </c>
      <c r="T10" s="111">
        <f t="shared" si="1"/>
        <v>184.60191885900159</v>
      </c>
      <c r="U10" s="111">
        <f t="shared" si="1"/>
        <v>192.99291517077438</v>
      </c>
      <c r="V10" s="113">
        <f t="shared" si="1"/>
        <v>201.38391148254718</v>
      </c>
      <c r="W10" s="103"/>
    </row>
    <row r="11" spans="1:23" x14ac:dyDescent="0.25">
      <c r="A11" s="140">
        <v>45</v>
      </c>
      <c r="B11" s="146">
        <f t="shared" si="0"/>
        <v>39.999999999999993</v>
      </c>
      <c r="C11" s="110">
        <f t="shared" si="0"/>
        <v>49.999999999999993</v>
      </c>
      <c r="D11" s="110">
        <f t="shared" si="0"/>
        <v>59.999999999999993</v>
      </c>
      <c r="E11" s="110">
        <f t="shared" si="0"/>
        <v>69.999999999999986</v>
      </c>
      <c r="F11" s="110">
        <f t="shared" si="0"/>
        <v>79.999999999999986</v>
      </c>
      <c r="G11" s="110">
        <f t="shared" si="0"/>
        <v>89.999999999999986</v>
      </c>
      <c r="H11" s="110">
        <f t="shared" si="0"/>
        <v>99.999999999999986</v>
      </c>
      <c r="I11" s="110">
        <f t="shared" si="0"/>
        <v>109.99999999999999</v>
      </c>
      <c r="J11" s="111">
        <f t="shared" si="0"/>
        <v>119.99999999999999</v>
      </c>
      <c r="K11" s="110">
        <f t="shared" si="0"/>
        <v>129.99999999999997</v>
      </c>
      <c r="L11" s="150">
        <f t="shared" si="0"/>
        <v>139.99999999999997</v>
      </c>
      <c r="M11" s="155">
        <f t="shared" si="0"/>
        <v>149.99999999999997</v>
      </c>
      <c r="N11" s="188">
        <f t="shared" si="0"/>
        <v>159.99999999999997</v>
      </c>
      <c r="O11" s="155">
        <f t="shared" si="0"/>
        <v>169.99999999999997</v>
      </c>
      <c r="P11" s="112">
        <f t="shared" si="0"/>
        <v>179.99999999999997</v>
      </c>
      <c r="Q11" s="150">
        <f t="shared" si="0"/>
        <v>189.99999999999997</v>
      </c>
      <c r="R11" s="155">
        <f t="shared" si="1"/>
        <v>199.99999999999997</v>
      </c>
      <c r="S11" s="112">
        <f t="shared" si="1"/>
        <v>209.99999999999997</v>
      </c>
      <c r="T11" s="110">
        <f t="shared" si="1"/>
        <v>219.99999999999997</v>
      </c>
      <c r="U11" s="110">
        <f t="shared" si="1"/>
        <v>229.99999999999997</v>
      </c>
      <c r="V11" s="109">
        <f t="shared" si="1"/>
        <v>239.99999999999997</v>
      </c>
      <c r="W11" s="103"/>
    </row>
    <row r="12" spans="1:23" x14ac:dyDescent="0.25">
      <c r="A12" s="140">
        <v>50</v>
      </c>
      <c r="B12" s="146">
        <f t="shared" si="0"/>
        <v>47.670143703768403</v>
      </c>
      <c r="C12" s="110">
        <f t="shared" si="0"/>
        <v>59.5876796297105</v>
      </c>
      <c r="D12" s="110">
        <f t="shared" si="0"/>
        <v>71.505215555652597</v>
      </c>
      <c r="E12" s="110">
        <f t="shared" si="0"/>
        <v>83.422751481594702</v>
      </c>
      <c r="F12" s="110">
        <f t="shared" si="0"/>
        <v>95.340287407536806</v>
      </c>
      <c r="G12" s="110">
        <f t="shared" si="0"/>
        <v>107.2578233334789</v>
      </c>
      <c r="H12" s="110">
        <f t="shared" si="0"/>
        <v>119.175359259421</v>
      </c>
      <c r="I12" s="110">
        <f t="shared" si="0"/>
        <v>131.09289518536309</v>
      </c>
      <c r="J12" s="111">
        <f t="shared" si="0"/>
        <v>143.01043111130519</v>
      </c>
      <c r="K12" s="110">
        <f t="shared" si="0"/>
        <v>154.9279670372473</v>
      </c>
      <c r="L12" s="150">
        <f t="shared" si="0"/>
        <v>166.8455029631894</v>
      </c>
      <c r="M12" s="155">
        <f t="shared" si="0"/>
        <v>178.76303888913151</v>
      </c>
      <c r="N12" s="188">
        <f t="shared" si="0"/>
        <v>190.68057481507361</v>
      </c>
      <c r="O12" s="155">
        <f t="shared" si="0"/>
        <v>202.59811074101569</v>
      </c>
      <c r="P12" s="112">
        <f t="shared" si="0"/>
        <v>214.51564666695779</v>
      </c>
      <c r="Q12" s="150">
        <f t="shared" si="0"/>
        <v>226.4331825928999</v>
      </c>
      <c r="R12" s="155">
        <f t="shared" si="1"/>
        <v>238.350718518842</v>
      </c>
      <c r="S12" s="112">
        <f t="shared" si="1"/>
        <v>250.26825444478411</v>
      </c>
      <c r="T12" s="110">
        <f t="shared" si="1"/>
        <v>262.18579037072618</v>
      </c>
      <c r="U12" s="110">
        <f t="shared" si="1"/>
        <v>274.10332629666829</v>
      </c>
      <c r="V12" s="109">
        <f t="shared" si="1"/>
        <v>286.02086222261039</v>
      </c>
      <c r="W12" s="103"/>
    </row>
    <row r="13" spans="1:23" x14ac:dyDescent="0.25">
      <c r="A13" s="140">
        <v>55</v>
      </c>
      <c r="B13" s="146">
        <f t="shared" si="0"/>
        <v>57.125920269684578</v>
      </c>
      <c r="C13" s="110">
        <f t="shared" si="0"/>
        <v>71.407400337105713</v>
      </c>
      <c r="D13" s="110">
        <f t="shared" si="0"/>
        <v>85.68888040452687</v>
      </c>
      <c r="E13" s="110">
        <f t="shared" si="0"/>
        <v>99.970360471948013</v>
      </c>
      <c r="F13" s="110">
        <f t="shared" si="0"/>
        <v>114.25184053936916</v>
      </c>
      <c r="G13" s="110">
        <f t="shared" si="0"/>
        <v>128.53332060679028</v>
      </c>
      <c r="H13" s="110">
        <f t="shared" si="0"/>
        <v>142.81480067421143</v>
      </c>
      <c r="I13" s="110">
        <f t="shared" si="0"/>
        <v>157.0962807416326</v>
      </c>
      <c r="J13" s="111">
        <f t="shared" si="0"/>
        <v>171.37776080905374</v>
      </c>
      <c r="K13" s="110">
        <f t="shared" si="0"/>
        <v>185.65924087647488</v>
      </c>
      <c r="L13" s="150">
        <f t="shared" si="0"/>
        <v>199.94072094389603</v>
      </c>
      <c r="M13" s="155">
        <f t="shared" si="0"/>
        <v>214.22220101131717</v>
      </c>
      <c r="N13" s="188">
        <f t="shared" si="0"/>
        <v>228.50368107873831</v>
      </c>
      <c r="O13" s="155">
        <f t="shared" si="0"/>
        <v>242.78516114615945</v>
      </c>
      <c r="P13" s="112">
        <f t="shared" si="0"/>
        <v>257.06664121358057</v>
      </c>
      <c r="Q13" s="150">
        <f t="shared" si="0"/>
        <v>271.34812128100174</v>
      </c>
      <c r="R13" s="155">
        <f t="shared" si="1"/>
        <v>285.62960134842285</v>
      </c>
      <c r="S13" s="112">
        <f t="shared" si="1"/>
        <v>299.91108141584402</v>
      </c>
      <c r="T13" s="110">
        <f t="shared" si="1"/>
        <v>314.19256148326519</v>
      </c>
      <c r="U13" s="110">
        <f t="shared" si="1"/>
        <v>328.47404155068631</v>
      </c>
      <c r="V13" s="109">
        <f t="shared" si="1"/>
        <v>342.75552161810748</v>
      </c>
      <c r="W13" s="103"/>
    </row>
    <row r="14" spans="1:23" ht="15.75" thickBot="1" x14ac:dyDescent="0.3">
      <c r="A14" s="141">
        <v>60</v>
      </c>
      <c r="B14" s="148">
        <f t="shared" si="0"/>
        <v>69.28203230275507</v>
      </c>
      <c r="C14" s="106">
        <f t="shared" si="0"/>
        <v>86.602540378443834</v>
      </c>
      <c r="D14" s="106">
        <f t="shared" si="0"/>
        <v>103.92304845413261</v>
      </c>
      <c r="E14" s="106">
        <f t="shared" si="0"/>
        <v>121.24355652982138</v>
      </c>
      <c r="F14" s="106">
        <f t="shared" si="0"/>
        <v>138.56406460551014</v>
      </c>
      <c r="G14" s="106">
        <f t="shared" si="0"/>
        <v>155.8845726811989</v>
      </c>
      <c r="H14" s="106">
        <f t="shared" si="0"/>
        <v>173.20508075688767</v>
      </c>
      <c r="I14" s="106">
        <f t="shared" si="0"/>
        <v>190.52558883257643</v>
      </c>
      <c r="J14" s="107">
        <f t="shared" si="0"/>
        <v>207.84609690826522</v>
      </c>
      <c r="K14" s="106">
        <f t="shared" si="0"/>
        <v>225.16660498395399</v>
      </c>
      <c r="L14" s="152">
        <f t="shared" si="0"/>
        <v>242.48711305964275</v>
      </c>
      <c r="M14" s="157">
        <f t="shared" si="0"/>
        <v>259.80762113533149</v>
      </c>
      <c r="N14" s="190">
        <f t="shared" si="0"/>
        <v>277.12812921102028</v>
      </c>
      <c r="O14" s="157">
        <f t="shared" si="0"/>
        <v>294.44863728670907</v>
      </c>
      <c r="P14" s="108">
        <f t="shared" si="0"/>
        <v>311.76914536239781</v>
      </c>
      <c r="Q14" s="152">
        <f t="shared" si="0"/>
        <v>329.0896534380866</v>
      </c>
      <c r="R14" s="157">
        <f t="shared" si="1"/>
        <v>346.41016151377534</v>
      </c>
      <c r="S14" s="108">
        <f t="shared" si="1"/>
        <v>363.73066958946413</v>
      </c>
      <c r="T14" s="106">
        <f t="shared" si="1"/>
        <v>381.05117766515286</v>
      </c>
      <c r="U14" s="106">
        <f t="shared" si="1"/>
        <v>398.37168574084166</v>
      </c>
      <c r="V14" s="105">
        <f t="shared" si="1"/>
        <v>415.69219381653045</v>
      </c>
      <c r="W14" s="103"/>
    </row>
    <row r="15" spans="1:23" x14ac:dyDescent="0.25">
      <c r="A15" s="103"/>
      <c r="B15" s="103"/>
      <c r="C15" s="103"/>
      <c r="D15" s="103"/>
      <c r="E15" s="103"/>
      <c r="F15" s="103"/>
      <c r="G15" s="103"/>
      <c r="H15" s="103"/>
      <c r="I15" s="103"/>
      <c r="J15" s="103"/>
      <c r="K15" s="103"/>
      <c r="L15" s="103"/>
      <c r="M15" s="158" t="s">
        <v>174</v>
      </c>
      <c r="N15" s="103"/>
      <c r="O15" s="158" t="s">
        <v>174</v>
      </c>
      <c r="P15" s="103"/>
      <c r="Q15" s="103"/>
      <c r="R15" s="158" t="s">
        <v>174</v>
      </c>
      <c r="S15" s="103"/>
      <c r="T15" s="103"/>
      <c r="U15" s="103"/>
      <c r="V15" s="103"/>
      <c r="W15" s="103"/>
    </row>
    <row r="16" spans="1:23" ht="15.75" thickBot="1" x14ac:dyDescent="0.3">
      <c r="A16" s="103"/>
      <c r="B16" s="103"/>
      <c r="C16" s="103"/>
      <c r="D16" s="103"/>
      <c r="E16" s="103"/>
      <c r="F16" s="103"/>
      <c r="G16" s="103"/>
      <c r="H16" s="103"/>
      <c r="I16" s="103"/>
      <c r="J16" s="103"/>
      <c r="K16" s="103"/>
      <c r="L16" s="103"/>
      <c r="M16" s="159">
        <v>410</v>
      </c>
      <c r="N16" s="103"/>
      <c r="O16" s="159">
        <v>515</v>
      </c>
      <c r="P16" s="103"/>
      <c r="Q16" s="103"/>
      <c r="R16" s="159" t="s">
        <v>175</v>
      </c>
      <c r="S16" s="103"/>
      <c r="T16" s="103"/>
      <c r="U16" s="103"/>
      <c r="V16" s="103"/>
      <c r="W16" s="103"/>
    </row>
    <row r="17" spans="1:23" ht="32.25" customHeight="1" thickBot="1" x14ac:dyDescent="0.3">
      <c r="A17" s="229" t="s">
        <v>163</v>
      </c>
      <c r="B17" s="231" t="s">
        <v>162</v>
      </c>
      <c r="C17" s="232"/>
      <c r="D17" s="232"/>
      <c r="E17" s="232"/>
      <c r="F17" s="232"/>
      <c r="G17" s="232"/>
      <c r="H17" s="232"/>
      <c r="I17" s="232"/>
      <c r="J17" s="232"/>
      <c r="K17" s="232"/>
      <c r="L17" s="232"/>
      <c r="M17" s="232"/>
      <c r="N17" s="232"/>
      <c r="O17" s="232"/>
      <c r="P17" s="232"/>
      <c r="Q17" s="232"/>
      <c r="R17" s="232"/>
      <c r="S17" s="232"/>
      <c r="T17" s="232"/>
      <c r="U17" s="232"/>
      <c r="V17" s="233"/>
      <c r="W17" s="104">
        <v>0.32963860416575719</v>
      </c>
    </row>
    <row r="18" spans="1:23" ht="15.75" thickBot="1" x14ac:dyDescent="0.3">
      <c r="A18" s="230"/>
      <c r="B18" s="143">
        <v>20</v>
      </c>
      <c r="C18" s="144">
        <v>25</v>
      </c>
      <c r="D18" s="144">
        <v>30</v>
      </c>
      <c r="E18" s="144">
        <v>35</v>
      </c>
      <c r="F18" s="144">
        <v>40</v>
      </c>
      <c r="G18" s="144">
        <v>45</v>
      </c>
      <c r="H18" s="144">
        <v>50</v>
      </c>
      <c r="I18" s="144">
        <v>55</v>
      </c>
      <c r="J18" s="144">
        <v>60</v>
      </c>
      <c r="K18" s="144">
        <v>65</v>
      </c>
      <c r="L18" s="149">
        <v>70</v>
      </c>
      <c r="M18" s="154">
        <v>75</v>
      </c>
      <c r="N18" s="187">
        <v>80</v>
      </c>
      <c r="O18" s="154">
        <v>85</v>
      </c>
      <c r="P18" s="153">
        <v>90</v>
      </c>
      <c r="Q18" s="149">
        <v>95</v>
      </c>
      <c r="R18" s="154">
        <v>100</v>
      </c>
      <c r="S18" s="153">
        <v>105</v>
      </c>
      <c r="T18" s="144">
        <v>110</v>
      </c>
      <c r="U18" s="144">
        <v>115</v>
      </c>
      <c r="V18" s="145">
        <v>120</v>
      </c>
      <c r="W18" s="142" t="s">
        <v>161</v>
      </c>
    </row>
    <row r="19" spans="1:23" x14ac:dyDescent="0.25">
      <c r="A19" s="139">
        <v>5</v>
      </c>
      <c r="B19" s="146">
        <f t="shared" ref="B19:N19" si="2">B3*(1-$W$17)</f>
        <v>2.3459609040364331</v>
      </c>
      <c r="C19" s="110">
        <f t="shared" si="2"/>
        <v>2.9324511300455414</v>
      </c>
      <c r="D19" s="110">
        <f t="shared" si="2"/>
        <v>3.5189413560546496</v>
      </c>
      <c r="E19" s="110">
        <f t="shared" si="2"/>
        <v>4.1054315820637575</v>
      </c>
      <c r="F19" s="110">
        <f t="shared" si="2"/>
        <v>4.6919218080728662</v>
      </c>
      <c r="G19" s="110">
        <f t="shared" si="2"/>
        <v>5.278412034081974</v>
      </c>
      <c r="H19" s="110">
        <f t="shared" si="2"/>
        <v>5.8649022600910827</v>
      </c>
      <c r="I19" s="110">
        <f t="shared" si="2"/>
        <v>6.4513924861001906</v>
      </c>
      <c r="J19" s="111">
        <f t="shared" si="2"/>
        <v>7.0378827121092993</v>
      </c>
      <c r="K19" s="110">
        <f t="shared" si="2"/>
        <v>7.624372938118408</v>
      </c>
      <c r="L19" s="150">
        <f t="shared" si="2"/>
        <v>8.2108631641275149</v>
      </c>
      <c r="M19" s="155">
        <f t="shared" si="2"/>
        <v>8.7973533901366245</v>
      </c>
      <c r="N19" s="188">
        <f t="shared" si="2"/>
        <v>9.3838436161457324</v>
      </c>
      <c r="O19" s="155">
        <f t="shared" ref="O19:V19" si="3">O3*(1-$W$17)</f>
        <v>9.9703338421548402</v>
      </c>
      <c r="P19" s="112">
        <f t="shared" si="3"/>
        <v>10.556824068163948</v>
      </c>
      <c r="Q19" s="150">
        <f t="shared" si="3"/>
        <v>11.143314294173056</v>
      </c>
      <c r="R19" s="155">
        <f t="shared" si="3"/>
        <v>11.729804520182165</v>
      </c>
      <c r="S19" s="112">
        <f t="shared" si="3"/>
        <v>12.316294746191275</v>
      </c>
      <c r="T19" s="110">
        <f t="shared" si="3"/>
        <v>12.902784972200381</v>
      </c>
      <c r="U19" s="110">
        <f t="shared" si="3"/>
        <v>13.489275198209489</v>
      </c>
      <c r="V19" s="109">
        <f t="shared" si="3"/>
        <v>14.075765424218599</v>
      </c>
      <c r="W19" s="103"/>
    </row>
    <row r="20" spans="1:23" x14ac:dyDescent="0.25">
      <c r="A20" s="140">
        <v>10</v>
      </c>
      <c r="B20" s="146">
        <f t="shared" ref="B20:M20" si="4">B4*(1-$W$17)</f>
        <v>4.7281120364385671</v>
      </c>
      <c r="C20" s="110">
        <f t="shared" si="4"/>
        <v>5.9101400455482098</v>
      </c>
      <c r="D20" s="110">
        <f t="shared" si="4"/>
        <v>7.0921680546578507</v>
      </c>
      <c r="E20" s="110">
        <f t="shared" si="4"/>
        <v>8.2741960637674943</v>
      </c>
      <c r="F20" s="110">
        <f t="shared" si="4"/>
        <v>9.4562240728771343</v>
      </c>
      <c r="G20" s="110">
        <f t="shared" si="4"/>
        <v>10.638252081986776</v>
      </c>
      <c r="H20" s="110">
        <f t="shared" si="4"/>
        <v>11.82028009109642</v>
      </c>
      <c r="I20" s="110">
        <f t="shared" si="4"/>
        <v>13.002308100206061</v>
      </c>
      <c r="J20" s="111">
        <f t="shared" si="4"/>
        <v>14.184336109315701</v>
      </c>
      <c r="K20" s="110">
        <f t="shared" si="4"/>
        <v>15.366364118425345</v>
      </c>
      <c r="L20" s="150">
        <f t="shared" si="4"/>
        <v>16.548392127534989</v>
      </c>
      <c r="M20" s="155">
        <f t="shared" si="4"/>
        <v>17.730420136644629</v>
      </c>
      <c r="N20" s="188">
        <f t="shared" ref="N20:V20" si="5">N4*(1-$W$17)</f>
        <v>18.912448145754269</v>
      </c>
      <c r="O20" s="155">
        <f t="shared" si="5"/>
        <v>20.094476154863912</v>
      </c>
      <c r="P20" s="112">
        <f t="shared" si="5"/>
        <v>21.276504163973552</v>
      </c>
      <c r="Q20" s="150">
        <f t="shared" si="5"/>
        <v>22.458532173083196</v>
      </c>
      <c r="R20" s="155">
        <f t="shared" si="5"/>
        <v>23.640560182192839</v>
      </c>
      <c r="S20" s="112">
        <f t="shared" si="5"/>
        <v>24.822588191302479</v>
      </c>
      <c r="T20" s="110">
        <f t="shared" si="5"/>
        <v>26.004616200412123</v>
      </c>
      <c r="U20" s="110">
        <f t="shared" si="5"/>
        <v>27.186644209521763</v>
      </c>
      <c r="V20" s="109">
        <f t="shared" si="5"/>
        <v>28.368672218631403</v>
      </c>
      <c r="W20" s="103"/>
    </row>
    <row r="21" spans="1:23" x14ac:dyDescent="0.25">
      <c r="A21" s="140">
        <v>15</v>
      </c>
      <c r="B21" s="146">
        <f t="shared" ref="B21:M21" si="6">B5*(1-$W$17)</f>
        <v>7.1849117860314218</v>
      </c>
      <c r="C21" s="110">
        <f t="shared" si="6"/>
        <v>8.9811397325392761</v>
      </c>
      <c r="D21" s="110">
        <f t="shared" si="6"/>
        <v>10.777367679047133</v>
      </c>
      <c r="E21" s="110">
        <f t="shared" si="6"/>
        <v>12.573595625554988</v>
      </c>
      <c r="F21" s="110">
        <f t="shared" si="6"/>
        <v>14.369823572062844</v>
      </c>
      <c r="G21" s="110">
        <f t="shared" si="6"/>
        <v>16.166051518570697</v>
      </c>
      <c r="H21" s="110">
        <f t="shared" si="6"/>
        <v>17.962279465078552</v>
      </c>
      <c r="I21" s="110">
        <f t="shared" si="6"/>
        <v>19.758507411586411</v>
      </c>
      <c r="J21" s="111">
        <f t="shared" si="6"/>
        <v>21.554735358094266</v>
      </c>
      <c r="K21" s="110">
        <f t="shared" si="6"/>
        <v>23.350963304602118</v>
      </c>
      <c r="L21" s="150">
        <f t="shared" si="6"/>
        <v>25.147191251109977</v>
      </c>
      <c r="M21" s="155">
        <f t="shared" si="6"/>
        <v>26.943419197617832</v>
      </c>
      <c r="N21" s="188">
        <f t="shared" ref="N21:V21" si="7">N5*(1-$W$17)</f>
        <v>28.739647144125687</v>
      </c>
      <c r="O21" s="155">
        <f t="shared" si="7"/>
        <v>30.535875090633542</v>
      </c>
      <c r="P21" s="112">
        <f t="shared" si="7"/>
        <v>32.332103037141394</v>
      </c>
      <c r="Q21" s="150">
        <f t="shared" si="7"/>
        <v>34.128330983649256</v>
      </c>
      <c r="R21" s="155">
        <f t="shared" si="7"/>
        <v>35.924558930157104</v>
      </c>
      <c r="S21" s="112">
        <f t="shared" si="7"/>
        <v>37.72078687666496</v>
      </c>
      <c r="T21" s="110">
        <f t="shared" si="7"/>
        <v>39.517014823172822</v>
      </c>
      <c r="U21" s="110">
        <f t="shared" si="7"/>
        <v>41.313242769680677</v>
      </c>
      <c r="V21" s="109">
        <f t="shared" si="7"/>
        <v>43.109470716188532</v>
      </c>
      <c r="W21" s="103"/>
    </row>
    <row r="22" spans="1:23" x14ac:dyDescent="0.25">
      <c r="A22" s="140">
        <v>20</v>
      </c>
      <c r="B22" s="146">
        <f t="shared" ref="B22:M22" si="8">B6*(1-$W$17)</f>
        <v>9.7596637713923098</v>
      </c>
      <c r="C22" s="110">
        <f t="shared" si="8"/>
        <v>12.199579714240389</v>
      </c>
      <c r="D22" s="110">
        <f t="shared" si="8"/>
        <v>14.639495657088466</v>
      </c>
      <c r="E22" s="110">
        <f t="shared" si="8"/>
        <v>17.079411599936542</v>
      </c>
      <c r="F22" s="110">
        <f t="shared" si="8"/>
        <v>19.51932754278462</v>
      </c>
      <c r="G22" s="110">
        <f t="shared" si="8"/>
        <v>21.959243485632697</v>
      </c>
      <c r="H22" s="110">
        <f t="shared" si="8"/>
        <v>24.399159428480779</v>
      </c>
      <c r="I22" s="110">
        <f t="shared" si="8"/>
        <v>26.839075371328853</v>
      </c>
      <c r="J22" s="111">
        <f t="shared" si="8"/>
        <v>29.278991314176931</v>
      </c>
      <c r="K22" s="110">
        <f t="shared" si="8"/>
        <v>31.718907257025005</v>
      </c>
      <c r="L22" s="150">
        <f t="shared" si="8"/>
        <v>34.158823199873083</v>
      </c>
      <c r="M22" s="155">
        <f t="shared" si="8"/>
        <v>36.598739142721158</v>
      </c>
      <c r="N22" s="188">
        <f t="shared" ref="N22:V22" si="9">N6*(1-$W$17)</f>
        <v>39.038655085569239</v>
      </c>
      <c r="O22" s="155">
        <f t="shared" si="9"/>
        <v>41.478571028417321</v>
      </c>
      <c r="P22" s="112">
        <f t="shared" si="9"/>
        <v>43.918486971265395</v>
      </c>
      <c r="Q22" s="150">
        <f t="shared" si="9"/>
        <v>46.358402914113469</v>
      </c>
      <c r="R22" s="155">
        <f t="shared" si="9"/>
        <v>48.798318856961558</v>
      </c>
      <c r="S22" s="112">
        <f t="shared" si="9"/>
        <v>51.238234799809632</v>
      </c>
      <c r="T22" s="110">
        <f t="shared" si="9"/>
        <v>53.678150742657706</v>
      </c>
      <c r="U22" s="110">
        <f t="shared" si="9"/>
        <v>56.118066685505781</v>
      </c>
      <c r="V22" s="109">
        <f t="shared" si="9"/>
        <v>58.557982628353862</v>
      </c>
      <c r="W22" s="103"/>
    </row>
    <row r="23" spans="1:23" x14ac:dyDescent="0.25">
      <c r="A23" s="140">
        <v>25</v>
      </c>
      <c r="B23" s="146">
        <f t="shared" ref="B23:M23" si="10">B7*(1-$W$17)</f>
        <v>12.503786104359273</v>
      </c>
      <c r="C23" s="110">
        <f t="shared" si="10"/>
        <v>15.629732630449089</v>
      </c>
      <c r="D23" s="110">
        <f t="shared" si="10"/>
        <v>18.755679156538907</v>
      </c>
      <c r="E23" s="110">
        <f t="shared" si="10"/>
        <v>21.881625682628727</v>
      </c>
      <c r="F23" s="110">
        <f t="shared" si="10"/>
        <v>25.007572208718546</v>
      </c>
      <c r="G23" s="110">
        <f t="shared" si="10"/>
        <v>28.133518734808359</v>
      </c>
      <c r="H23" s="110">
        <f t="shared" si="10"/>
        <v>31.259465260898178</v>
      </c>
      <c r="I23" s="110">
        <f t="shared" si="10"/>
        <v>34.385411786987994</v>
      </c>
      <c r="J23" s="111">
        <f t="shared" si="10"/>
        <v>37.511358313077814</v>
      </c>
      <c r="K23" s="110">
        <f t="shared" si="10"/>
        <v>40.637304839167633</v>
      </c>
      <c r="L23" s="150">
        <f t="shared" si="10"/>
        <v>43.763251365257453</v>
      </c>
      <c r="M23" s="155">
        <f t="shared" si="10"/>
        <v>46.889197891347273</v>
      </c>
      <c r="N23" s="188">
        <f t="shared" ref="N23:V23" si="11">N7*(1-$W$17)</f>
        <v>50.015144417437092</v>
      </c>
      <c r="O23" s="155">
        <f t="shared" si="11"/>
        <v>53.141090943526912</v>
      </c>
      <c r="P23" s="112">
        <f t="shared" si="11"/>
        <v>56.267037469616717</v>
      </c>
      <c r="Q23" s="150">
        <f t="shared" si="11"/>
        <v>59.392983995706537</v>
      </c>
      <c r="R23" s="155">
        <f t="shared" si="11"/>
        <v>62.518930521796356</v>
      </c>
      <c r="S23" s="112">
        <f t="shared" si="11"/>
        <v>65.644877047886169</v>
      </c>
      <c r="T23" s="110">
        <f t="shared" si="11"/>
        <v>68.770823573975989</v>
      </c>
      <c r="U23" s="110">
        <f t="shared" si="11"/>
        <v>71.896770100065808</v>
      </c>
      <c r="V23" s="109">
        <f t="shared" si="11"/>
        <v>75.022716626155628</v>
      </c>
      <c r="W23" s="103"/>
    </row>
    <row r="24" spans="1:23" x14ac:dyDescent="0.25">
      <c r="A24" s="140">
        <v>30</v>
      </c>
      <c r="B24" s="146">
        <f t="shared" ref="B24:M24" si="12">B8*(1-$W$17)</f>
        <v>15.481333293569334</v>
      </c>
      <c r="C24" s="110">
        <f t="shared" si="12"/>
        <v>19.351666616961669</v>
      </c>
      <c r="D24" s="110">
        <f t="shared" si="12"/>
        <v>23.221999940353999</v>
      </c>
      <c r="E24" s="110">
        <f t="shared" si="12"/>
        <v>27.092333263746337</v>
      </c>
      <c r="F24" s="110">
        <f t="shared" si="12"/>
        <v>30.962666587138667</v>
      </c>
      <c r="G24" s="110">
        <f t="shared" si="12"/>
        <v>34.832999910531001</v>
      </c>
      <c r="H24" s="110">
        <f t="shared" si="12"/>
        <v>38.703333233923338</v>
      </c>
      <c r="I24" s="110">
        <f t="shared" si="12"/>
        <v>42.573666557315669</v>
      </c>
      <c r="J24" s="111">
        <f t="shared" si="12"/>
        <v>46.443999880707999</v>
      </c>
      <c r="K24" s="110">
        <f t="shared" si="12"/>
        <v>50.314333204100329</v>
      </c>
      <c r="L24" s="150">
        <f t="shared" si="12"/>
        <v>54.184666527492674</v>
      </c>
      <c r="M24" s="155">
        <f t="shared" si="12"/>
        <v>58.054999850885004</v>
      </c>
      <c r="N24" s="188">
        <f t="shared" ref="N24:V24" si="13">N8*(1-$W$17)</f>
        <v>61.925333174277334</v>
      </c>
      <c r="O24" s="155">
        <f t="shared" si="13"/>
        <v>65.795666497669671</v>
      </c>
      <c r="P24" s="112">
        <f t="shared" si="13"/>
        <v>69.665999821062002</v>
      </c>
      <c r="Q24" s="150">
        <f t="shared" si="13"/>
        <v>73.536333144454332</v>
      </c>
      <c r="R24" s="155">
        <f t="shared" si="13"/>
        <v>77.406666467846676</v>
      </c>
      <c r="S24" s="112">
        <f t="shared" si="13"/>
        <v>81.276999791239007</v>
      </c>
      <c r="T24" s="110">
        <f t="shared" si="13"/>
        <v>85.147333114631337</v>
      </c>
      <c r="U24" s="110">
        <f t="shared" si="13"/>
        <v>89.017666438023667</v>
      </c>
      <c r="V24" s="109">
        <f t="shared" si="13"/>
        <v>92.887999761415998</v>
      </c>
      <c r="W24" s="103"/>
    </row>
    <row r="25" spans="1:23" x14ac:dyDescent="0.25">
      <c r="A25" s="140">
        <v>35</v>
      </c>
      <c r="B25" s="146">
        <f t="shared" ref="B25:M25" si="14">B9*(1-$W$17)</f>
        <v>18.775684107516796</v>
      </c>
      <c r="C25" s="110">
        <f t="shared" si="14"/>
        <v>23.469605134395994</v>
      </c>
      <c r="D25" s="110">
        <f t="shared" si="14"/>
        <v>28.163526161275193</v>
      </c>
      <c r="E25" s="110">
        <f t="shared" si="14"/>
        <v>32.857447188154389</v>
      </c>
      <c r="F25" s="110">
        <f t="shared" si="14"/>
        <v>37.551368215033591</v>
      </c>
      <c r="G25" s="110">
        <f t="shared" si="14"/>
        <v>42.245289241912793</v>
      </c>
      <c r="H25" s="110">
        <f t="shared" si="14"/>
        <v>46.939210268791989</v>
      </c>
      <c r="I25" s="110">
        <f t="shared" si="14"/>
        <v>51.633131295671191</v>
      </c>
      <c r="J25" s="111">
        <f t="shared" si="14"/>
        <v>56.327052322550387</v>
      </c>
      <c r="K25" s="110">
        <f t="shared" si="14"/>
        <v>61.020973349429589</v>
      </c>
      <c r="L25" s="150">
        <f t="shared" si="14"/>
        <v>65.714894376308777</v>
      </c>
      <c r="M25" s="155">
        <f t="shared" si="14"/>
        <v>70.408815403187987</v>
      </c>
      <c r="N25" s="188">
        <f t="shared" ref="N25:V25" si="15">N9*(1-$W$17)</f>
        <v>75.102736430067182</v>
      </c>
      <c r="O25" s="155">
        <f t="shared" si="15"/>
        <v>79.796657456946392</v>
      </c>
      <c r="P25" s="112">
        <f t="shared" si="15"/>
        <v>84.490578483825587</v>
      </c>
      <c r="Q25" s="150">
        <f t="shared" si="15"/>
        <v>89.184499510704796</v>
      </c>
      <c r="R25" s="155">
        <f t="shared" si="15"/>
        <v>93.878420537583978</v>
      </c>
      <c r="S25" s="112">
        <f t="shared" si="15"/>
        <v>98.572341564463173</v>
      </c>
      <c r="T25" s="110">
        <f t="shared" si="15"/>
        <v>103.26626259134238</v>
      </c>
      <c r="U25" s="110">
        <f t="shared" si="15"/>
        <v>107.96018361822159</v>
      </c>
      <c r="V25" s="109">
        <f t="shared" si="15"/>
        <v>112.65410464510077</v>
      </c>
      <c r="W25" s="103"/>
    </row>
    <row r="26" spans="1:23" x14ac:dyDescent="0.25">
      <c r="A26" s="140">
        <v>40</v>
      </c>
      <c r="B26" s="147">
        <f t="shared" ref="B26:M26" si="16">B10*(1-$W$17)</f>
        <v>22.499999999999986</v>
      </c>
      <c r="C26" s="111">
        <f t="shared" si="16"/>
        <v>28.124999999999986</v>
      </c>
      <c r="D26" s="111">
        <f t="shared" si="16"/>
        <v>33.749999999999979</v>
      </c>
      <c r="E26" s="111">
        <f t="shared" si="16"/>
        <v>39.374999999999979</v>
      </c>
      <c r="F26" s="111">
        <f t="shared" si="16"/>
        <v>44.999999999999972</v>
      </c>
      <c r="G26" s="111">
        <f t="shared" si="16"/>
        <v>50.624999999999972</v>
      </c>
      <c r="H26" s="111">
        <f t="shared" si="16"/>
        <v>56.249999999999972</v>
      </c>
      <c r="I26" s="111">
        <f t="shared" si="16"/>
        <v>61.874999999999964</v>
      </c>
      <c r="J26" s="111">
        <f t="shared" si="16"/>
        <v>67.499999999999957</v>
      </c>
      <c r="K26" s="111">
        <f t="shared" si="16"/>
        <v>73.124999999999957</v>
      </c>
      <c r="L26" s="151">
        <f t="shared" si="16"/>
        <v>78.749999999999957</v>
      </c>
      <c r="M26" s="156">
        <f t="shared" si="16"/>
        <v>84.374999999999957</v>
      </c>
      <c r="N26" s="189">
        <f t="shared" ref="N26:V26" si="17">N10*(1-$W$17)</f>
        <v>89.999999999999943</v>
      </c>
      <c r="O26" s="156">
        <f t="shared" si="17"/>
        <v>95.624999999999943</v>
      </c>
      <c r="P26" s="114">
        <f t="shared" si="17"/>
        <v>101.24999999999994</v>
      </c>
      <c r="Q26" s="151">
        <f t="shared" si="17"/>
        <v>106.87499999999996</v>
      </c>
      <c r="R26" s="156">
        <f t="shared" si="17"/>
        <v>112.49999999999994</v>
      </c>
      <c r="S26" s="114">
        <f t="shared" si="17"/>
        <v>118.12499999999994</v>
      </c>
      <c r="T26" s="111">
        <f t="shared" si="17"/>
        <v>123.74999999999993</v>
      </c>
      <c r="U26" s="111">
        <f t="shared" si="17"/>
        <v>129.37499999999994</v>
      </c>
      <c r="V26" s="113">
        <f t="shared" si="17"/>
        <v>134.99999999999991</v>
      </c>
      <c r="W26" s="103"/>
    </row>
    <row r="27" spans="1:23" x14ac:dyDescent="0.25">
      <c r="A27" s="140">
        <v>45</v>
      </c>
      <c r="B27" s="146">
        <f t="shared" ref="B27:M27" si="18">B11*(1-$W$17)</f>
        <v>26.814455833369706</v>
      </c>
      <c r="C27" s="110">
        <f t="shared" si="18"/>
        <v>33.518069791712136</v>
      </c>
      <c r="D27" s="110">
        <f t="shared" si="18"/>
        <v>40.221683750054567</v>
      </c>
      <c r="E27" s="110">
        <f t="shared" si="18"/>
        <v>46.92529770839699</v>
      </c>
      <c r="F27" s="110">
        <f t="shared" si="18"/>
        <v>53.628911666739413</v>
      </c>
      <c r="G27" s="110">
        <f t="shared" si="18"/>
        <v>60.332525625081843</v>
      </c>
      <c r="H27" s="110">
        <f t="shared" si="18"/>
        <v>67.036139583424273</v>
      </c>
      <c r="I27" s="110">
        <f t="shared" si="18"/>
        <v>73.739753541766703</v>
      </c>
      <c r="J27" s="111">
        <f t="shared" si="18"/>
        <v>80.443367500109133</v>
      </c>
      <c r="K27" s="110">
        <f t="shared" si="18"/>
        <v>87.146981458451549</v>
      </c>
      <c r="L27" s="150">
        <f t="shared" si="18"/>
        <v>93.850595416793979</v>
      </c>
      <c r="M27" s="155">
        <f t="shared" si="18"/>
        <v>100.55420937513641</v>
      </c>
      <c r="N27" s="188">
        <f t="shared" ref="N27:V27" si="19">N11*(1-$W$17)</f>
        <v>107.25782333347883</v>
      </c>
      <c r="O27" s="155">
        <f t="shared" si="19"/>
        <v>113.96143729182126</v>
      </c>
      <c r="P27" s="112">
        <f t="shared" si="19"/>
        <v>120.66505125016369</v>
      </c>
      <c r="Q27" s="150">
        <f t="shared" si="19"/>
        <v>127.36866520850612</v>
      </c>
      <c r="R27" s="155">
        <f t="shared" si="19"/>
        <v>134.07227916684855</v>
      </c>
      <c r="S27" s="112">
        <f t="shared" si="19"/>
        <v>140.77589312519098</v>
      </c>
      <c r="T27" s="110">
        <f t="shared" si="19"/>
        <v>147.47950708353341</v>
      </c>
      <c r="U27" s="110">
        <f t="shared" si="19"/>
        <v>154.18312104187584</v>
      </c>
      <c r="V27" s="109">
        <f t="shared" si="19"/>
        <v>160.88673500021827</v>
      </c>
      <c r="W27" s="103"/>
    </row>
    <row r="28" spans="1:23" x14ac:dyDescent="0.25">
      <c r="A28" s="140">
        <v>50</v>
      </c>
      <c r="B28" s="146">
        <f t="shared" ref="B28:M28" si="20">B12*(1-$W$17)</f>
        <v>31.956224072877127</v>
      </c>
      <c r="C28" s="110">
        <f t="shared" si="20"/>
        <v>39.945280091096407</v>
      </c>
      <c r="D28" s="110">
        <f t="shared" si="20"/>
        <v>47.934336109315687</v>
      </c>
      <c r="E28" s="110">
        <f t="shared" si="20"/>
        <v>55.923392127534974</v>
      </c>
      <c r="F28" s="110">
        <f t="shared" si="20"/>
        <v>63.912448145754254</v>
      </c>
      <c r="G28" s="110">
        <f t="shared" si="20"/>
        <v>71.901504163973527</v>
      </c>
      <c r="H28" s="110">
        <f t="shared" si="20"/>
        <v>79.890560182192814</v>
      </c>
      <c r="I28" s="110">
        <f t="shared" si="20"/>
        <v>87.879616200412087</v>
      </c>
      <c r="J28" s="111">
        <f t="shared" si="20"/>
        <v>95.868672218631374</v>
      </c>
      <c r="K28" s="110">
        <f t="shared" si="20"/>
        <v>103.85772823685066</v>
      </c>
      <c r="L28" s="150">
        <f t="shared" si="20"/>
        <v>111.84678425506995</v>
      </c>
      <c r="M28" s="155">
        <f t="shared" si="20"/>
        <v>119.83584027328922</v>
      </c>
      <c r="N28" s="188">
        <f t="shared" ref="N28:V28" si="21">N12*(1-$W$17)</f>
        <v>127.82489629150851</v>
      </c>
      <c r="O28" s="155">
        <f t="shared" si="21"/>
        <v>135.81395230972777</v>
      </c>
      <c r="P28" s="112">
        <f t="shared" si="21"/>
        <v>143.80300832794705</v>
      </c>
      <c r="Q28" s="150">
        <f t="shared" si="21"/>
        <v>151.79206434616634</v>
      </c>
      <c r="R28" s="155">
        <f t="shared" si="21"/>
        <v>159.78112036438563</v>
      </c>
      <c r="S28" s="112">
        <f t="shared" si="21"/>
        <v>167.77017638260492</v>
      </c>
      <c r="T28" s="110">
        <f t="shared" si="21"/>
        <v>175.75923240082417</v>
      </c>
      <c r="U28" s="110">
        <f t="shared" si="21"/>
        <v>183.74828841904346</v>
      </c>
      <c r="V28" s="109">
        <f t="shared" si="21"/>
        <v>191.73734443726275</v>
      </c>
      <c r="W28" s="103"/>
    </row>
    <row r="29" spans="1:23" x14ac:dyDescent="0.25">
      <c r="A29" s="140">
        <v>55</v>
      </c>
      <c r="B29" s="146">
        <f t="shared" ref="B29:M29" si="22">B13*(1-$W$17)</f>
        <v>38.295011650301419</v>
      </c>
      <c r="C29" s="110">
        <f t="shared" si="22"/>
        <v>47.86876456287677</v>
      </c>
      <c r="D29" s="110">
        <f t="shared" si="22"/>
        <v>57.442517475452128</v>
      </c>
      <c r="E29" s="110">
        <f t="shared" si="22"/>
        <v>67.016270388027479</v>
      </c>
      <c r="F29" s="110">
        <f t="shared" si="22"/>
        <v>76.590023300602837</v>
      </c>
      <c r="G29" s="110">
        <f t="shared" si="22"/>
        <v>86.163776213178181</v>
      </c>
      <c r="H29" s="110">
        <f t="shared" si="22"/>
        <v>95.737529125753539</v>
      </c>
      <c r="I29" s="110">
        <f t="shared" si="22"/>
        <v>105.31128203832891</v>
      </c>
      <c r="J29" s="111">
        <f t="shared" si="22"/>
        <v>114.88503495090426</v>
      </c>
      <c r="K29" s="110">
        <f t="shared" si="22"/>
        <v>124.45878786347961</v>
      </c>
      <c r="L29" s="150">
        <f t="shared" si="22"/>
        <v>134.03254077605496</v>
      </c>
      <c r="M29" s="155">
        <f t="shared" si="22"/>
        <v>143.60629368863033</v>
      </c>
      <c r="N29" s="188">
        <f t="shared" ref="N29:V29" si="23">N13*(1-$W$17)</f>
        <v>153.18004660120567</v>
      </c>
      <c r="O29" s="155">
        <f t="shared" si="23"/>
        <v>162.75379951378102</v>
      </c>
      <c r="P29" s="112">
        <f t="shared" si="23"/>
        <v>172.32755242635636</v>
      </c>
      <c r="Q29" s="150">
        <f t="shared" si="23"/>
        <v>181.90130533893173</v>
      </c>
      <c r="R29" s="155">
        <f t="shared" si="23"/>
        <v>191.47505825150708</v>
      </c>
      <c r="S29" s="112">
        <f t="shared" si="23"/>
        <v>201.04881116408245</v>
      </c>
      <c r="T29" s="110">
        <f t="shared" si="23"/>
        <v>210.62256407665782</v>
      </c>
      <c r="U29" s="110">
        <f t="shared" si="23"/>
        <v>220.19631698923314</v>
      </c>
      <c r="V29" s="109">
        <f t="shared" si="23"/>
        <v>229.77006990180851</v>
      </c>
      <c r="W29" s="103"/>
    </row>
    <row r="30" spans="1:23" ht="15.75" thickBot="1" x14ac:dyDescent="0.3">
      <c r="A30" s="141">
        <v>60</v>
      </c>
      <c r="B30" s="148">
        <f t="shared" ref="B30:M30" si="24">B14*(1-$W$17)</f>
        <v>46.443999880707992</v>
      </c>
      <c r="C30" s="106">
        <f t="shared" si="24"/>
        <v>58.054999850884982</v>
      </c>
      <c r="D30" s="106">
        <f t="shared" si="24"/>
        <v>69.665999821061988</v>
      </c>
      <c r="E30" s="106">
        <f t="shared" si="24"/>
        <v>81.276999791238978</v>
      </c>
      <c r="F30" s="106">
        <f t="shared" si="24"/>
        <v>92.887999761415983</v>
      </c>
      <c r="G30" s="106">
        <f t="shared" si="24"/>
        <v>104.49899973159297</v>
      </c>
      <c r="H30" s="106">
        <f t="shared" si="24"/>
        <v>116.10999970176996</v>
      </c>
      <c r="I30" s="106">
        <f t="shared" si="24"/>
        <v>127.72099967194696</v>
      </c>
      <c r="J30" s="107">
        <f t="shared" si="24"/>
        <v>139.33199964212398</v>
      </c>
      <c r="K30" s="106">
        <f t="shared" si="24"/>
        <v>150.94299961230098</v>
      </c>
      <c r="L30" s="152">
        <f t="shared" si="24"/>
        <v>162.55399958247796</v>
      </c>
      <c r="M30" s="157">
        <f t="shared" si="24"/>
        <v>174.16499955265493</v>
      </c>
      <c r="N30" s="190">
        <f t="shared" ref="N30:V30" si="25">N14*(1-$W$17)</f>
        <v>185.77599952283197</v>
      </c>
      <c r="O30" s="157">
        <f t="shared" si="25"/>
        <v>197.38699949300897</v>
      </c>
      <c r="P30" s="108">
        <f t="shared" si="25"/>
        <v>208.99799946318595</v>
      </c>
      <c r="Q30" s="152">
        <f t="shared" si="25"/>
        <v>220.60899943336295</v>
      </c>
      <c r="R30" s="157">
        <f t="shared" si="25"/>
        <v>232.21999940353993</v>
      </c>
      <c r="S30" s="108">
        <f t="shared" si="25"/>
        <v>243.83099937371693</v>
      </c>
      <c r="T30" s="106">
        <f t="shared" si="25"/>
        <v>255.44199934389391</v>
      </c>
      <c r="U30" s="106">
        <f t="shared" si="25"/>
        <v>267.05299931407092</v>
      </c>
      <c r="V30" s="105">
        <f t="shared" si="25"/>
        <v>278.66399928424795</v>
      </c>
      <c r="W30" s="103"/>
    </row>
    <row r="31" spans="1:23" x14ac:dyDescent="0.25">
      <c r="A31" s="103"/>
      <c r="B31" s="103"/>
      <c r="C31" s="103"/>
      <c r="D31" s="103"/>
      <c r="E31" s="103"/>
      <c r="F31" s="103"/>
      <c r="G31" s="103"/>
      <c r="H31" s="103"/>
      <c r="I31" s="103"/>
      <c r="J31" s="103"/>
      <c r="K31" s="103"/>
      <c r="L31" s="103"/>
      <c r="M31" s="158" t="s">
        <v>174</v>
      </c>
      <c r="N31" s="103"/>
      <c r="O31" s="158" t="s">
        <v>174</v>
      </c>
      <c r="P31" s="103"/>
      <c r="Q31" s="103"/>
      <c r="R31" s="158" t="s">
        <v>174</v>
      </c>
      <c r="S31" s="103"/>
      <c r="T31" s="103"/>
      <c r="U31" s="103"/>
      <c r="V31" s="103"/>
      <c r="W31" s="103"/>
    </row>
    <row r="32" spans="1:23" ht="15.75" thickBot="1" x14ac:dyDescent="0.3">
      <c r="A32" s="103"/>
      <c r="B32" s="103"/>
      <c r="C32" s="103"/>
      <c r="D32" s="103"/>
      <c r="E32" s="103"/>
      <c r="F32" s="103"/>
      <c r="G32" s="103"/>
      <c r="H32" s="103"/>
      <c r="I32" s="103"/>
      <c r="J32" s="103"/>
      <c r="K32" s="103"/>
      <c r="L32" s="103"/>
      <c r="M32" s="159">
        <v>410</v>
      </c>
      <c r="N32" s="103"/>
      <c r="O32" s="159">
        <v>515</v>
      </c>
      <c r="P32" s="103"/>
      <c r="Q32" s="103"/>
      <c r="R32" s="159" t="s">
        <v>175</v>
      </c>
      <c r="S32" s="103"/>
      <c r="T32" s="103"/>
      <c r="U32" s="103"/>
      <c r="V32" s="103"/>
      <c r="W32" s="103"/>
    </row>
    <row r="34" spans="24:26" x14ac:dyDescent="0.25">
      <c r="X34" s="34" t="s">
        <v>61</v>
      </c>
      <c r="Y34" s="35" t="s">
        <v>195</v>
      </c>
      <c r="Z34" s="36">
        <v>44396</v>
      </c>
    </row>
  </sheetData>
  <mergeCells count="4">
    <mergeCell ref="A1:A2"/>
    <mergeCell ref="A17:A18"/>
    <mergeCell ref="B1:V1"/>
    <mergeCell ref="B17:V17"/>
  </mergeCell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CE9D9C-1D38-4ED0-A4A4-2B747E0B518F}">
  <sheetPr>
    <tabColor rgb="FF00B050"/>
  </sheetPr>
  <dimension ref="A1:M93"/>
  <sheetViews>
    <sheetView tabSelected="1" workbookViewId="0">
      <selection activeCell="B7" sqref="B7"/>
    </sheetView>
  </sheetViews>
  <sheetFormatPr defaultRowHeight="15" x14ac:dyDescent="0.25"/>
  <cols>
    <col min="1" max="1" width="55.85546875" bestFit="1" customWidth="1"/>
    <col min="2" max="2" width="9.140625" style="1"/>
    <col min="3" max="3" width="10" style="1" bestFit="1" customWidth="1"/>
    <col min="4" max="4" width="77.5703125" bestFit="1" customWidth="1"/>
    <col min="6" max="6" width="11.42578125" customWidth="1"/>
    <col min="7" max="7" width="13.7109375" customWidth="1"/>
    <col min="10" max="10" width="9.5703125" bestFit="1" customWidth="1"/>
  </cols>
  <sheetData>
    <row r="1" spans="1:13" ht="19.5" thickBot="1" x14ac:dyDescent="0.35">
      <c r="A1" s="257" t="s">
        <v>294</v>
      </c>
      <c r="B1" s="258"/>
      <c r="C1" s="258"/>
      <c r="D1" s="259"/>
    </row>
    <row r="2" spans="1:13" ht="15.75" thickBot="1" x14ac:dyDescent="0.3">
      <c r="A2" s="79" t="s">
        <v>94</v>
      </c>
      <c r="B2" s="64" t="s">
        <v>0</v>
      </c>
      <c r="C2" s="80" t="s">
        <v>29</v>
      </c>
      <c r="D2" s="81" t="s">
        <v>1</v>
      </c>
      <c r="F2" s="213" t="s">
        <v>295</v>
      </c>
      <c r="G2" s="214" t="s">
        <v>296</v>
      </c>
      <c r="H2" s="215" t="s">
        <v>297</v>
      </c>
      <c r="I2" s="215" t="s">
        <v>298</v>
      </c>
      <c r="J2" s="216" t="s">
        <v>29</v>
      </c>
      <c r="K2" s="34"/>
      <c r="L2" s="35"/>
      <c r="M2" s="36"/>
    </row>
    <row r="3" spans="1:13" x14ac:dyDescent="0.25">
      <c r="A3" s="65" t="s">
        <v>134</v>
      </c>
      <c r="B3" s="66">
        <v>100</v>
      </c>
      <c r="C3" s="67" t="s">
        <v>33</v>
      </c>
      <c r="D3" s="68" t="s">
        <v>305</v>
      </c>
      <c r="F3" s="217" t="s">
        <v>299</v>
      </c>
      <c r="G3" s="218">
        <v>3.7587999999999999</v>
      </c>
      <c r="H3" s="218">
        <v>3.7587999999999999</v>
      </c>
      <c r="I3" s="218">
        <v>3.7587999999999999</v>
      </c>
      <c r="J3" s="219" t="s">
        <v>300</v>
      </c>
    </row>
    <row r="4" spans="1:13" x14ac:dyDescent="0.25">
      <c r="A4" s="12" t="s">
        <v>135</v>
      </c>
      <c r="B4" s="58">
        <v>5</v>
      </c>
      <c r="C4" s="2" t="s">
        <v>32</v>
      </c>
      <c r="D4" s="13" t="s">
        <v>51</v>
      </c>
      <c r="F4" s="220" t="s">
        <v>306</v>
      </c>
      <c r="G4" s="221">
        <v>6252</v>
      </c>
      <c r="H4" s="221">
        <v>8184</v>
      </c>
      <c r="I4" s="221">
        <v>9564</v>
      </c>
      <c r="J4" s="222" t="s">
        <v>301</v>
      </c>
    </row>
    <row r="5" spans="1:13" x14ac:dyDescent="0.25">
      <c r="A5" s="12" t="s">
        <v>136</v>
      </c>
      <c r="B5" s="58">
        <v>80</v>
      </c>
      <c r="C5" s="2" t="s">
        <v>34</v>
      </c>
      <c r="D5" s="13" t="s">
        <v>52</v>
      </c>
      <c r="F5" s="220" t="s">
        <v>106</v>
      </c>
      <c r="G5" s="221">
        <v>4168</v>
      </c>
      <c r="H5" s="221">
        <v>5460</v>
      </c>
      <c r="I5" s="221">
        <v>6376</v>
      </c>
      <c r="J5" s="222" t="s">
        <v>301</v>
      </c>
    </row>
    <row r="6" spans="1:13" x14ac:dyDescent="0.25">
      <c r="A6" s="12" t="s">
        <v>139</v>
      </c>
      <c r="B6" s="99">
        <v>0.4</v>
      </c>
      <c r="C6" s="2" t="s">
        <v>137</v>
      </c>
      <c r="D6" s="13" t="s">
        <v>138</v>
      </c>
      <c r="F6" s="220" t="s">
        <v>303</v>
      </c>
      <c r="G6" s="221">
        <v>4244</v>
      </c>
      <c r="H6" s="221">
        <v>4862</v>
      </c>
      <c r="I6" s="221">
        <v>5690</v>
      </c>
      <c r="J6" s="222" t="s">
        <v>301</v>
      </c>
    </row>
    <row r="7" spans="1:13" x14ac:dyDescent="0.25">
      <c r="A7" s="14" t="s">
        <v>140</v>
      </c>
      <c r="B7" s="100">
        <f>2*$B$22*TAN(($B$24/2)*PI()/180)</f>
        <v>167.81992623545599</v>
      </c>
      <c r="C7" s="2" t="s">
        <v>33</v>
      </c>
      <c r="D7" s="13"/>
      <c r="F7" s="220" t="s">
        <v>304</v>
      </c>
      <c r="G7" s="226">
        <v>16</v>
      </c>
      <c r="H7" s="223">
        <v>18</v>
      </c>
      <c r="I7" s="221">
        <v>21</v>
      </c>
      <c r="J7" s="222" t="s">
        <v>300</v>
      </c>
    </row>
    <row r="8" spans="1:13" ht="15.75" thickBot="1" x14ac:dyDescent="0.3">
      <c r="A8" s="14" t="s">
        <v>144</v>
      </c>
      <c r="B8" s="101">
        <f>B7*(1-B6)</f>
        <v>100.69195574127359</v>
      </c>
      <c r="C8" s="2" t="s">
        <v>33</v>
      </c>
      <c r="D8" s="13"/>
      <c r="F8" s="228" t="s">
        <v>302</v>
      </c>
      <c r="G8" s="227">
        <v>73</v>
      </c>
      <c r="H8" s="224">
        <v>81</v>
      </c>
      <c r="I8" s="224">
        <v>81</v>
      </c>
      <c r="J8" s="225" t="s">
        <v>285</v>
      </c>
    </row>
    <row r="9" spans="1:13" ht="15.75" customHeight="1" x14ac:dyDescent="0.25">
      <c r="A9" s="14" t="s">
        <v>142</v>
      </c>
      <c r="B9" s="4">
        <f>$B$29</f>
        <v>169.49384428006542</v>
      </c>
      <c r="C9" s="3" t="s">
        <v>60</v>
      </c>
      <c r="D9" s="13" t="s">
        <v>8</v>
      </c>
    </row>
    <row r="10" spans="1:13" ht="15.75" customHeight="1" x14ac:dyDescent="0.25">
      <c r="A10" s="14" t="s">
        <v>143</v>
      </c>
      <c r="B10" s="4">
        <f>B9*2</f>
        <v>338.98768856013083</v>
      </c>
      <c r="C10" s="3" t="s">
        <v>60</v>
      </c>
      <c r="D10" s="13" t="s">
        <v>8</v>
      </c>
    </row>
    <row r="11" spans="1:13" x14ac:dyDescent="0.25">
      <c r="A11" s="14" t="s">
        <v>48</v>
      </c>
      <c r="B11" s="4">
        <f>$B$30</f>
        <v>31.416029890561564</v>
      </c>
      <c r="C11" s="3" t="s">
        <v>58</v>
      </c>
      <c r="D11" s="13" t="s">
        <v>141</v>
      </c>
    </row>
    <row r="12" spans="1:13" x14ac:dyDescent="0.25">
      <c r="A12" s="14" t="s">
        <v>49</v>
      </c>
      <c r="B12" s="4">
        <f>$B$31</f>
        <v>1.5625</v>
      </c>
      <c r="C12" s="3" t="s">
        <v>58</v>
      </c>
      <c r="D12" s="13" t="s">
        <v>141</v>
      </c>
    </row>
    <row r="13" spans="1:13" x14ac:dyDescent="0.25">
      <c r="A13" s="14" t="s">
        <v>85</v>
      </c>
      <c r="B13" s="4">
        <f>B32</f>
        <v>15.200002926507345</v>
      </c>
      <c r="C13" s="3" t="s">
        <v>58</v>
      </c>
      <c r="D13" s="13" t="s">
        <v>87</v>
      </c>
    </row>
    <row r="14" spans="1:13" ht="15.75" thickBot="1" x14ac:dyDescent="0.3">
      <c r="A14" s="22" t="s">
        <v>86</v>
      </c>
      <c r="B14" s="77">
        <f>B33</f>
        <v>22.900010007496078</v>
      </c>
      <c r="C14" s="78" t="s">
        <v>58</v>
      </c>
      <c r="D14" s="70" t="s">
        <v>87</v>
      </c>
    </row>
    <row r="15" spans="1:13" ht="15.75" thickBot="1" x14ac:dyDescent="0.3">
      <c r="A15" s="29" t="s">
        <v>92</v>
      </c>
      <c r="B15" s="30" t="s">
        <v>0</v>
      </c>
      <c r="C15" s="30" t="s">
        <v>29</v>
      </c>
      <c r="D15" s="31" t="s">
        <v>1</v>
      </c>
    </row>
    <row r="16" spans="1:13" x14ac:dyDescent="0.25">
      <c r="A16" s="24" t="s">
        <v>35</v>
      </c>
      <c r="B16" s="9">
        <v>640</v>
      </c>
      <c r="C16" s="6" t="s">
        <v>30</v>
      </c>
      <c r="D16" s="16" t="s">
        <v>89</v>
      </c>
    </row>
    <row r="17" spans="1:13" ht="14.25" customHeight="1" thickBot="1" x14ac:dyDescent="0.3">
      <c r="A17" s="24" t="s">
        <v>37</v>
      </c>
      <c r="B17" s="212">
        <v>10</v>
      </c>
      <c r="C17" s="6" t="s">
        <v>31</v>
      </c>
      <c r="D17" s="13" t="s">
        <v>271</v>
      </c>
    </row>
    <row r="18" spans="1:13" ht="16.5" customHeight="1" thickBot="1" x14ac:dyDescent="0.3">
      <c r="A18" s="24" t="s">
        <v>83</v>
      </c>
      <c r="B18" s="6">
        <v>1.52</v>
      </c>
      <c r="C18" s="6" t="s">
        <v>77</v>
      </c>
      <c r="D18" s="13" t="s">
        <v>80</v>
      </c>
      <c r="F18" s="260" t="s">
        <v>98</v>
      </c>
      <c r="G18" s="255"/>
      <c r="H18" s="256"/>
    </row>
    <row r="19" spans="1:13" ht="15" customHeight="1" x14ac:dyDescent="0.25">
      <c r="A19" s="24" t="s">
        <v>84</v>
      </c>
      <c r="B19" s="6">
        <v>2.29</v>
      </c>
      <c r="C19" s="6" t="s">
        <v>77</v>
      </c>
      <c r="D19" s="13" t="s">
        <v>80</v>
      </c>
      <c r="F19" s="39">
        <f>$B$28</f>
        <v>839.09963117728</v>
      </c>
      <c r="G19" s="261" t="s">
        <v>68</v>
      </c>
      <c r="H19" s="262"/>
    </row>
    <row r="20" spans="1:13" ht="15.75" customHeight="1" thickBot="1" x14ac:dyDescent="0.3">
      <c r="A20" s="25" t="s">
        <v>10</v>
      </c>
      <c r="B20" s="26">
        <v>32</v>
      </c>
      <c r="C20" s="28" t="s">
        <v>47</v>
      </c>
      <c r="D20" s="27" t="s">
        <v>96</v>
      </c>
      <c r="F20" s="39">
        <f>F19*60</f>
        <v>50345.977870636802</v>
      </c>
      <c r="G20" s="248" t="s">
        <v>62</v>
      </c>
      <c r="H20" s="249"/>
    </row>
    <row r="21" spans="1:13" ht="18" thickBot="1" x14ac:dyDescent="0.3">
      <c r="A21" s="29" t="s">
        <v>93</v>
      </c>
      <c r="B21" s="30" t="s">
        <v>0</v>
      </c>
      <c r="C21" s="30" t="s">
        <v>29</v>
      </c>
      <c r="D21" s="31" t="s">
        <v>1</v>
      </c>
      <c r="F21" s="59">
        <f>F20/1000000</f>
        <v>5.0345977870636799E-2</v>
      </c>
      <c r="G21" s="248" t="s">
        <v>63</v>
      </c>
      <c r="H21" s="249"/>
    </row>
    <row r="22" spans="1:13" ht="17.25" x14ac:dyDescent="0.25">
      <c r="A22" s="71" t="s">
        <v>38</v>
      </c>
      <c r="B22" s="72">
        <f>$B$3</f>
        <v>100</v>
      </c>
      <c r="C22" s="73" t="s">
        <v>33</v>
      </c>
      <c r="D22" s="16" t="s">
        <v>97</v>
      </c>
      <c r="F22" s="37">
        <f>F21*60</f>
        <v>3.020758672238208</v>
      </c>
      <c r="G22" s="248" t="s">
        <v>64</v>
      </c>
      <c r="H22" s="249"/>
    </row>
    <row r="23" spans="1:13" ht="17.25" x14ac:dyDescent="0.25">
      <c r="A23" s="15" t="s">
        <v>3</v>
      </c>
      <c r="B23" s="5">
        <f>$B$4</f>
        <v>5</v>
      </c>
      <c r="C23" s="6" t="s">
        <v>32</v>
      </c>
      <c r="D23" s="16" t="s">
        <v>97</v>
      </c>
      <c r="F23" s="37">
        <f>F22*0.386102</f>
        <v>1.1663209648685167</v>
      </c>
      <c r="G23" s="248" t="s">
        <v>65</v>
      </c>
      <c r="H23" s="249"/>
    </row>
    <row r="24" spans="1:13" x14ac:dyDescent="0.25">
      <c r="A24" s="15" t="s">
        <v>36</v>
      </c>
      <c r="B24" s="5">
        <f>$B$5</f>
        <v>80</v>
      </c>
      <c r="C24" s="6" t="s">
        <v>34</v>
      </c>
      <c r="D24" s="16" t="s">
        <v>97</v>
      </c>
      <c r="F24" s="39">
        <f>F22*247.105</f>
        <v>746.44457170342241</v>
      </c>
      <c r="G24" s="248" t="s">
        <v>66</v>
      </c>
      <c r="H24" s="249"/>
    </row>
    <row r="25" spans="1:13" ht="15.75" thickBot="1" x14ac:dyDescent="0.3">
      <c r="A25" s="15" t="s">
        <v>39</v>
      </c>
      <c r="B25" s="7">
        <f>$B$24/360*$B$16</f>
        <v>142.22222222222223</v>
      </c>
      <c r="C25" s="6" t="s">
        <v>30</v>
      </c>
      <c r="D25" s="13" t="s">
        <v>6</v>
      </c>
      <c r="F25" s="82">
        <f>F22*100</f>
        <v>302.07586722382081</v>
      </c>
      <c r="G25" s="250" t="s">
        <v>67</v>
      </c>
      <c r="H25" s="251"/>
    </row>
    <row r="26" spans="1:13" ht="15.75" thickBot="1" x14ac:dyDescent="0.3">
      <c r="A26" s="15" t="s">
        <v>40</v>
      </c>
      <c r="B26" s="7">
        <f>2*$B$22*TAN(($B$24/2)*PI()/180)</f>
        <v>167.81992623545599</v>
      </c>
      <c r="C26" s="6" t="s">
        <v>33</v>
      </c>
      <c r="D26" s="13" t="s">
        <v>7</v>
      </c>
    </row>
    <row r="27" spans="1:13" ht="15.75" thickBot="1" x14ac:dyDescent="0.3">
      <c r="A27" s="15" t="s">
        <v>41</v>
      </c>
      <c r="B27" s="5">
        <f>$B$23</f>
        <v>5</v>
      </c>
      <c r="C27" s="6" t="s">
        <v>33</v>
      </c>
      <c r="D27" s="13" t="s">
        <v>3</v>
      </c>
      <c r="F27" s="252" t="s">
        <v>72</v>
      </c>
      <c r="G27" s="253"/>
      <c r="H27" s="253"/>
      <c r="I27" s="253"/>
      <c r="J27" s="254"/>
      <c r="K27" s="255" t="s">
        <v>75</v>
      </c>
      <c r="L27" s="256"/>
      <c r="M27" s="160" t="s">
        <v>189</v>
      </c>
    </row>
    <row r="28" spans="1:13" ht="18" thickBot="1" x14ac:dyDescent="0.3">
      <c r="A28" s="15" t="s">
        <v>42</v>
      </c>
      <c r="B28" s="7">
        <f>$B$26*$B$27</f>
        <v>839.09963117728</v>
      </c>
      <c r="C28" s="6" t="s">
        <v>53</v>
      </c>
      <c r="D28" s="13" t="s">
        <v>2</v>
      </c>
      <c r="F28" s="166" t="s">
        <v>69</v>
      </c>
      <c r="G28" s="69" t="s">
        <v>70</v>
      </c>
      <c r="H28" s="69" t="s">
        <v>71</v>
      </c>
      <c r="I28" s="69" t="s">
        <v>73</v>
      </c>
      <c r="J28" s="172" t="s">
        <v>74</v>
      </c>
      <c r="K28" s="162" t="s">
        <v>76</v>
      </c>
      <c r="L28" s="163">
        <f>B6*M28</f>
        <v>0.4</v>
      </c>
      <c r="M28">
        <v>1</v>
      </c>
    </row>
    <row r="29" spans="1:13" ht="16.5" customHeight="1" thickBot="1" x14ac:dyDescent="0.3">
      <c r="A29" s="15" t="s">
        <v>43</v>
      </c>
      <c r="B29" s="7">
        <f>$B$25*1000/$B$28</f>
        <v>169.49384428006542</v>
      </c>
      <c r="C29" s="6" t="s">
        <v>54</v>
      </c>
      <c r="D29" s="13" t="s">
        <v>4</v>
      </c>
      <c r="F29" s="178">
        <f>J42</f>
        <v>18</v>
      </c>
      <c r="G29" s="179">
        <f>$F$24/60*F29*(1-$L$28)*(1-$L$30)</f>
        <v>105.59136234257168</v>
      </c>
      <c r="H29" s="179">
        <f>$F$25/60*F29*(1-$L$28)*(1-$L$30)</f>
        <v>42.731374250853555</v>
      </c>
      <c r="I29" s="179">
        <f>$F$22/60*F29*(1-$L$28)*(1-$L$30)</f>
        <v>0.42731374250853554</v>
      </c>
      <c r="J29" s="180">
        <f>$F$23/60*F29*(1-$L$28)*(1-$L$30)</f>
        <v>0.16498669061003063</v>
      </c>
      <c r="K29" s="243" t="s">
        <v>187</v>
      </c>
      <c r="L29" s="245"/>
      <c r="M29" s="160" t="s">
        <v>189</v>
      </c>
    </row>
    <row r="30" spans="1:13" ht="15.75" thickBot="1" x14ac:dyDescent="0.3">
      <c r="A30" s="60" t="s">
        <v>44</v>
      </c>
      <c r="B30" s="61">
        <f>$B$39</f>
        <v>31.416029890561564</v>
      </c>
      <c r="C30" s="62" t="s">
        <v>58</v>
      </c>
      <c r="D30" s="63" t="s">
        <v>23</v>
      </c>
      <c r="F30" s="169">
        <v>5</v>
      </c>
      <c r="G30" s="170">
        <f t="shared" ref="G30:G39" si="0">$F$24/60*F30*(1-$L$28)*(1-$L$30)</f>
        <v>29.330933984047689</v>
      </c>
      <c r="H30" s="170">
        <f t="shared" ref="H30:H39" si="1">$F$25/60*F30*(1-$L$28)*(1-$L$30)</f>
        <v>11.869826180792655</v>
      </c>
      <c r="I30" s="170">
        <f t="shared" ref="I30:I39" si="2">$F$22/60*F30*(1-$L$28)*(1-$L$30)</f>
        <v>0.11869826180792653</v>
      </c>
      <c r="J30" s="171">
        <f t="shared" ref="J30:J39" si="3">$F$23/60*F30*(1-$L$28)*(1-$L$30)</f>
        <v>4.5829636280564058E-2</v>
      </c>
      <c r="K30" s="176" t="s">
        <v>188</v>
      </c>
      <c r="L30" s="177">
        <f>J51*M30</f>
        <v>0.2141162225317523</v>
      </c>
      <c r="M30">
        <v>1</v>
      </c>
    </row>
    <row r="31" spans="1:13" x14ac:dyDescent="0.25">
      <c r="A31" s="15" t="s">
        <v>45</v>
      </c>
      <c r="B31" s="7">
        <f>$B$41</f>
        <v>1.5625</v>
      </c>
      <c r="C31" s="6" t="s">
        <v>58</v>
      </c>
      <c r="D31" s="13" t="s">
        <v>24</v>
      </c>
      <c r="F31" s="164">
        <v>10</v>
      </c>
      <c r="G31" s="161">
        <f t="shared" si="0"/>
        <v>58.661867968095379</v>
      </c>
      <c r="H31" s="161">
        <f t="shared" si="1"/>
        <v>23.739652361585311</v>
      </c>
      <c r="I31" s="161">
        <f t="shared" si="2"/>
        <v>0.23739652361585306</v>
      </c>
      <c r="J31" s="165">
        <f t="shared" si="3"/>
        <v>9.1659272561128116E-2</v>
      </c>
    </row>
    <row r="32" spans="1:13" x14ac:dyDescent="0.25">
      <c r="A32" s="15" t="s">
        <v>78</v>
      </c>
      <c r="B32" s="7">
        <f>2*($B$3*TAN((B18/2)/1000))*100</f>
        <v>15.200002926507345</v>
      </c>
      <c r="C32" s="6" t="s">
        <v>58</v>
      </c>
      <c r="D32" s="13" t="s">
        <v>81</v>
      </c>
      <c r="F32" s="164">
        <v>15</v>
      </c>
      <c r="G32" s="161">
        <f t="shared" si="0"/>
        <v>87.992801952143068</v>
      </c>
      <c r="H32" s="161">
        <f t="shared" si="1"/>
        <v>35.609478542377964</v>
      </c>
      <c r="I32" s="161">
        <f t="shared" si="2"/>
        <v>0.35609478542377965</v>
      </c>
      <c r="J32" s="165">
        <f t="shared" si="3"/>
        <v>0.13748890884169218</v>
      </c>
    </row>
    <row r="33" spans="1:10" ht="15.75" customHeight="1" thickBot="1" x14ac:dyDescent="0.3">
      <c r="A33" s="23" t="s">
        <v>79</v>
      </c>
      <c r="B33" s="7">
        <f>2*($B$3*TAN((B19/2)/1000))*100</f>
        <v>22.900010007496078</v>
      </c>
      <c r="C33" s="69" t="s">
        <v>58</v>
      </c>
      <c r="D33" s="21" t="s">
        <v>82</v>
      </c>
      <c r="F33" s="164">
        <v>20</v>
      </c>
      <c r="G33" s="161">
        <f t="shared" si="0"/>
        <v>117.32373593619076</v>
      </c>
      <c r="H33" s="161">
        <f t="shared" si="1"/>
        <v>47.479304723170621</v>
      </c>
      <c r="I33" s="161">
        <f t="shared" si="2"/>
        <v>0.47479304723170612</v>
      </c>
      <c r="J33" s="165">
        <f t="shared" si="3"/>
        <v>0.18331854512225623</v>
      </c>
    </row>
    <row r="34" spans="1:10" ht="14.25" customHeight="1" thickBot="1" x14ac:dyDescent="0.3">
      <c r="A34" s="240" t="s">
        <v>20</v>
      </c>
      <c r="B34" s="241"/>
      <c r="C34" s="241"/>
      <c r="D34" s="242"/>
      <c r="F34" s="164">
        <v>25</v>
      </c>
      <c r="G34" s="161">
        <f t="shared" si="0"/>
        <v>146.65466992023849</v>
      </c>
      <c r="H34" s="161">
        <f t="shared" si="1"/>
        <v>59.349130903963271</v>
      </c>
      <c r="I34" s="161">
        <f t="shared" si="2"/>
        <v>0.59349130903963276</v>
      </c>
      <c r="J34" s="165">
        <f t="shared" si="3"/>
        <v>0.22914818140282031</v>
      </c>
    </row>
    <row r="35" spans="1:10" ht="15" customHeight="1" x14ac:dyDescent="0.25">
      <c r="A35" s="15" t="s">
        <v>11</v>
      </c>
      <c r="B35" s="7">
        <f>$B$16/$B$20</f>
        <v>20</v>
      </c>
      <c r="C35" s="6" t="s">
        <v>30</v>
      </c>
      <c r="D35" s="13" t="s">
        <v>25</v>
      </c>
      <c r="F35" s="164">
        <v>30</v>
      </c>
      <c r="G35" s="161">
        <f t="shared" si="0"/>
        <v>175.98560390428614</v>
      </c>
      <c r="H35" s="161">
        <f t="shared" si="1"/>
        <v>71.218957084755928</v>
      </c>
      <c r="I35" s="161">
        <f t="shared" si="2"/>
        <v>0.71218957084755929</v>
      </c>
      <c r="J35" s="165">
        <f t="shared" si="3"/>
        <v>0.27497781768338436</v>
      </c>
    </row>
    <row r="36" spans="1:10" ht="14.25" customHeight="1" thickBot="1" x14ac:dyDescent="0.3">
      <c r="A36" s="15" t="s">
        <v>12</v>
      </c>
      <c r="B36" s="7">
        <f>$B$24/360*$B$35</f>
        <v>4.4444444444444446</v>
      </c>
      <c r="C36" s="6" t="s">
        <v>30</v>
      </c>
      <c r="D36" s="13" t="s">
        <v>15</v>
      </c>
      <c r="F36" s="173">
        <v>45</v>
      </c>
      <c r="G36" s="174">
        <f t="shared" si="0"/>
        <v>263.97840585642928</v>
      </c>
      <c r="H36" s="174">
        <f t="shared" si="1"/>
        <v>106.82843562713389</v>
      </c>
      <c r="I36" s="174">
        <f>$F$22/60*F36*(1-$L$28)*(1-$L$30)</f>
        <v>1.0682843562713389</v>
      </c>
      <c r="J36" s="175">
        <f t="shared" si="3"/>
        <v>0.41246672652507654</v>
      </c>
    </row>
    <row r="37" spans="1:10" ht="14.25" customHeight="1" thickBot="1" x14ac:dyDescent="0.3">
      <c r="A37" s="15" t="s">
        <v>21</v>
      </c>
      <c r="B37" s="7">
        <f>$B$36*1000/$B$28</f>
        <v>5.2966826337520443</v>
      </c>
      <c r="C37" s="8" t="s">
        <v>54</v>
      </c>
      <c r="D37" s="13" t="s">
        <v>22</v>
      </c>
      <c r="F37" s="178">
        <v>60</v>
      </c>
      <c r="G37" s="179">
        <f t="shared" si="0"/>
        <v>351.97120780857227</v>
      </c>
      <c r="H37" s="179">
        <f t="shared" si="1"/>
        <v>142.43791416951186</v>
      </c>
      <c r="I37" s="179">
        <f t="shared" si="2"/>
        <v>1.4243791416951186</v>
      </c>
      <c r="J37" s="180">
        <f t="shared" si="3"/>
        <v>0.54995563536676872</v>
      </c>
    </row>
    <row r="38" spans="1:10" ht="14.25" customHeight="1" x14ac:dyDescent="0.25">
      <c r="A38" s="15" t="s">
        <v>56</v>
      </c>
      <c r="B38" s="32">
        <f>(360*$B$17)/($B$35*1000)</f>
        <v>0.18</v>
      </c>
      <c r="C38" s="8" t="s">
        <v>57</v>
      </c>
      <c r="D38" s="13" t="s">
        <v>55</v>
      </c>
      <c r="F38" s="169">
        <v>75</v>
      </c>
      <c r="G38" s="170">
        <f t="shared" si="0"/>
        <v>439.96400976071544</v>
      </c>
      <c r="H38" s="170">
        <f t="shared" si="1"/>
        <v>178.04739271188984</v>
      </c>
      <c r="I38" s="170">
        <f t="shared" si="2"/>
        <v>1.7804739271188983</v>
      </c>
      <c r="J38" s="171">
        <f t="shared" si="3"/>
        <v>0.68744454420846102</v>
      </c>
    </row>
    <row r="39" spans="1:10" ht="15.75" thickBot="1" x14ac:dyDescent="0.3">
      <c r="A39" s="15" t="s">
        <v>13</v>
      </c>
      <c r="B39" s="7">
        <f>$B$22*TAN(($B$38)*PI()/180)*100</f>
        <v>31.416029890561564</v>
      </c>
      <c r="C39" s="9" t="s">
        <v>58</v>
      </c>
      <c r="D39" s="33" t="s">
        <v>59</v>
      </c>
      <c r="F39" s="166">
        <v>90</v>
      </c>
      <c r="G39" s="167">
        <f t="shared" si="0"/>
        <v>527.95681171285855</v>
      </c>
      <c r="H39" s="167">
        <f t="shared" si="1"/>
        <v>213.65687125426777</v>
      </c>
      <c r="I39" s="167">
        <f t="shared" si="2"/>
        <v>2.1365687125426778</v>
      </c>
      <c r="J39" s="168">
        <f t="shared" si="3"/>
        <v>0.82493345305015309</v>
      </c>
    </row>
    <row r="40" spans="1:10" ht="15.75" thickBot="1" x14ac:dyDescent="0.3">
      <c r="A40" s="15" t="s">
        <v>14</v>
      </c>
      <c r="B40" s="7">
        <f>$B$23/$B$17*100</f>
        <v>50</v>
      </c>
      <c r="C40" s="9" t="s">
        <v>58</v>
      </c>
      <c r="D40" s="13" t="s">
        <v>5</v>
      </c>
    </row>
    <row r="41" spans="1:10" ht="15.75" thickBot="1" x14ac:dyDescent="0.3">
      <c r="A41" s="15" t="s">
        <v>9</v>
      </c>
      <c r="B41" s="7">
        <f>$B$23/$B$17/$B$20*100</f>
        <v>1.5625</v>
      </c>
      <c r="C41" s="9" t="s">
        <v>58</v>
      </c>
      <c r="D41" s="13" t="s">
        <v>17</v>
      </c>
      <c r="F41" s="243" t="s">
        <v>190</v>
      </c>
      <c r="G41" s="244"/>
      <c r="H41" s="244"/>
      <c r="I41" s="244"/>
      <c r="J41" s="245"/>
    </row>
    <row r="42" spans="1:10" x14ac:dyDescent="0.25">
      <c r="A42" s="17" t="s">
        <v>16</v>
      </c>
      <c r="B42" s="10">
        <f>2*$B$22*TAN((1/2)*PI()/180)</f>
        <v>1.7453735581517578</v>
      </c>
      <c r="C42" s="8" t="s">
        <v>33</v>
      </c>
      <c r="D42" s="13" t="s">
        <v>194</v>
      </c>
      <c r="F42" s="246" t="s">
        <v>182</v>
      </c>
      <c r="G42" s="247"/>
      <c r="H42" s="247"/>
      <c r="I42" s="247"/>
      <c r="J42" s="181">
        <v>18</v>
      </c>
    </row>
    <row r="43" spans="1:10" x14ac:dyDescent="0.25">
      <c r="A43" s="17" t="s">
        <v>18</v>
      </c>
      <c r="B43" s="11">
        <f>$B$42/($B$40/100)</f>
        <v>3.4907471163035155</v>
      </c>
      <c r="C43" s="9" t="s">
        <v>47</v>
      </c>
      <c r="D43" s="13" t="s">
        <v>26</v>
      </c>
      <c r="F43" s="236" t="s">
        <v>177</v>
      </c>
      <c r="G43" s="237"/>
      <c r="H43" s="237"/>
      <c r="I43" s="237"/>
      <c r="J43" s="182">
        <v>10</v>
      </c>
    </row>
    <row r="44" spans="1:10" ht="15" customHeight="1" thickBot="1" x14ac:dyDescent="0.3">
      <c r="A44" s="18" t="s">
        <v>19</v>
      </c>
      <c r="B44" s="19">
        <f>B43/B17</f>
        <v>0.34907471163035153</v>
      </c>
      <c r="C44" s="20" t="s">
        <v>46</v>
      </c>
      <c r="D44" s="21" t="s">
        <v>27</v>
      </c>
      <c r="F44" s="236" t="s">
        <v>183</v>
      </c>
      <c r="G44" s="237"/>
      <c r="H44" s="237"/>
      <c r="I44" s="237"/>
      <c r="J44" s="182">
        <v>15</v>
      </c>
    </row>
    <row r="45" spans="1:10" ht="15" customHeight="1" x14ac:dyDescent="0.25">
      <c r="F45" s="236" t="s">
        <v>184</v>
      </c>
      <c r="G45" s="237"/>
      <c r="H45" s="237"/>
      <c r="I45" s="237"/>
      <c r="J45" s="182">
        <v>10</v>
      </c>
    </row>
    <row r="46" spans="1:10" x14ac:dyDescent="0.25">
      <c r="F46" s="236" t="s">
        <v>185</v>
      </c>
      <c r="G46" s="237"/>
      <c r="H46" s="237"/>
      <c r="I46" s="237"/>
      <c r="J46" s="182">
        <v>10</v>
      </c>
    </row>
    <row r="47" spans="1:10" x14ac:dyDescent="0.25">
      <c r="F47" s="236" t="s">
        <v>186</v>
      </c>
      <c r="G47" s="237"/>
      <c r="H47" s="237"/>
      <c r="I47" s="237"/>
      <c r="J47" s="182">
        <v>15</v>
      </c>
    </row>
    <row r="48" spans="1:10" x14ac:dyDescent="0.25">
      <c r="F48" s="238" t="s">
        <v>176</v>
      </c>
      <c r="G48" s="239"/>
      <c r="H48" s="239"/>
      <c r="I48" s="239"/>
      <c r="J48" s="183">
        <f>B8/B4</f>
        <v>20.138391148254719</v>
      </c>
    </row>
    <row r="49" spans="6:12" x14ac:dyDescent="0.25">
      <c r="F49" s="238" t="s">
        <v>178</v>
      </c>
      <c r="G49" s="239"/>
      <c r="H49" s="239"/>
      <c r="I49" s="239"/>
      <c r="J49" s="183">
        <f>J48*(J43-1)</f>
        <v>181.24552033429248</v>
      </c>
    </row>
    <row r="50" spans="6:12" x14ac:dyDescent="0.25">
      <c r="F50" s="238" t="s">
        <v>179</v>
      </c>
      <c r="G50" s="239"/>
      <c r="H50" s="239"/>
      <c r="I50" s="239"/>
      <c r="J50" s="183">
        <f>J44+J45+J46+J47+J49</f>
        <v>231.24552033429248</v>
      </c>
    </row>
    <row r="51" spans="6:12" x14ac:dyDescent="0.25">
      <c r="F51" s="238" t="s">
        <v>180</v>
      </c>
      <c r="G51" s="239"/>
      <c r="H51" s="239"/>
      <c r="I51" s="239"/>
      <c r="J51" s="184">
        <f>J50/(J42*60)</f>
        <v>0.2141162225317523</v>
      </c>
    </row>
    <row r="52" spans="6:12" ht="15.75" thickBot="1" x14ac:dyDescent="0.3">
      <c r="F52" s="234" t="s">
        <v>181</v>
      </c>
      <c r="G52" s="235"/>
      <c r="H52" s="235"/>
      <c r="I52" s="235"/>
      <c r="J52" s="185">
        <f>1-J51</f>
        <v>0.78588377746824767</v>
      </c>
    </row>
    <row r="55" spans="6:12" x14ac:dyDescent="0.25">
      <c r="F55" t="s">
        <v>197</v>
      </c>
      <c r="J55" s="94">
        <v>5000</v>
      </c>
    </row>
    <row r="56" spans="6:12" x14ac:dyDescent="0.25">
      <c r="F56" t="s">
        <v>198</v>
      </c>
      <c r="J56" s="94">
        <v>2500</v>
      </c>
    </row>
    <row r="57" spans="6:12" x14ac:dyDescent="0.25">
      <c r="F57" t="s">
        <v>199</v>
      </c>
      <c r="J57" s="195">
        <f>B8</f>
        <v>100.69195574127359</v>
      </c>
    </row>
    <row r="58" spans="6:12" x14ac:dyDescent="0.25">
      <c r="F58" t="s">
        <v>229</v>
      </c>
      <c r="J58" s="195">
        <f>J55/J57</f>
        <v>49.65639969142542</v>
      </c>
    </row>
    <row r="59" spans="6:12" x14ac:dyDescent="0.25">
      <c r="F59" t="s">
        <v>230</v>
      </c>
      <c r="J59" s="195">
        <f>J56/J57</f>
        <v>24.82819984571271</v>
      </c>
    </row>
    <row r="60" spans="6:12" x14ac:dyDescent="0.25">
      <c r="F60" t="s">
        <v>200</v>
      </c>
      <c r="J60">
        <f>J55/B4</f>
        <v>1000</v>
      </c>
      <c r="K60" s="195">
        <f>J60/60</f>
        <v>16.666666666666668</v>
      </c>
    </row>
    <row r="61" spans="6:12" x14ac:dyDescent="0.25">
      <c r="F61" t="s">
        <v>201</v>
      </c>
      <c r="J61">
        <f>J56/B4</f>
        <v>500</v>
      </c>
      <c r="K61" s="195">
        <f>J61/60</f>
        <v>8.3333333333333339</v>
      </c>
    </row>
    <row r="62" spans="6:12" x14ac:dyDescent="0.25">
      <c r="F62" t="s">
        <v>207</v>
      </c>
      <c r="J62" s="195">
        <f>J60*J58</f>
        <v>49656.399691425424</v>
      </c>
      <c r="K62" s="195">
        <f>J62/60</f>
        <v>827.60666152375711</v>
      </c>
      <c r="L62" s="195">
        <f>K62/60</f>
        <v>13.793444358729285</v>
      </c>
    </row>
    <row r="63" spans="6:12" x14ac:dyDescent="0.25">
      <c r="F63" t="s">
        <v>208</v>
      </c>
      <c r="J63" s="195">
        <f>J61*J59</f>
        <v>12414.099922856356</v>
      </c>
      <c r="K63" s="195">
        <f>J63/60</f>
        <v>206.90166538093928</v>
      </c>
      <c r="L63" s="195">
        <f>K63/60</f>
        <v>3.4483610896823214</v>
      </c>
    </row>
    <row r="65" spans="6:12" x14ac:dyDescent="0.25">
      <c r="F65" t="s">
        <v>202</v>
      </c>
      <c r="J65" s="195">
        <f>J57/B4</f>
        <v>20.138391148254719</v>
      </c>
    </row>
    <row r="66" spans="6:12" x14ac:dyDescent="0.25">
      <c r="F66" t="s">
        <v>203</v>
      </c>
      <c r="J66" s="196">
        <f>J58-1</f>
        <v>48.65639969142542</v>
      </c>
    </row>
    <row r="67" spans="6:12" x14ac:dyDescent="0.25">
      <c r="F67" t="s">
        <v>204</v>
      </c>
      <c r="J67" s="196">
        <f>J59-1</f>
        <v>23.82819984571271</v>
      </c>
    </row>
    <row r="68" spans="6:12" x14ac:dyDescent="0.25">
      <c r="F68" t="s">
        <v>205</v>
      </c>
      <c r="J68" s="195">
        <f>J65*J66</f>
        <v>979.86160885174536</v>
      </c>
      <c r="K68" s="195">
        <f>J68/60</f>
        <v>16.331026814195756</v>
      </c>
      <c r="L68" s="195">
        <f>K68/60</f>
        <v>0.27218378023659595</v>
      </c>
    </row>
    <row r="69" spans="6:12" x14ac:dyDescent="0.25">
      <c r="F69" t="s">
        <v>206</v>
      </c>
      <c r="J69" s="195">
        <f>J65*J67</f>
        <v>479.8616088517453</v>
      </c>
      <c r="K69" s="195">
        <f>J69/60</f>
        <v>7.9976934808624218</v>
      </c>
      <c r="L69" s="195">
        <f>K69/60</f>
        <v>0.13329489134770703</v>
      </c>
    </row>
    <row r="71" spans="6:12" x14ac:dyDescent="0.25">
      <c r="F71" t="s">
        <v>209</v>
      </c>
      <c r="J71" s="94">
        <v>20</v>
      </c>
    </row>
    <row r="72" spans="6:12" x14ac:dyDescent="0.25">
      <c r="F72" t="s">
        <v>210</v>
      </c>
      <c r="J72" s="94">
        <v>500</v>
      </c>
    </row>
    <row r="73" spans="6:12" x14ac:dyDescent="0.25">
      <c r="F73" t="s">
        <v>211</v>
      </c>
      <c r="J73">
        <f>J55/J72</f>
        <v>10</v>
      </c>
    </row>
    <row r="74" spans="6:12" x14ac:dyDescent="0.25">
      <c r="F74" t="s">
        <v>212</v>
      </c>
      <c r="J74" s="195">
        <f>J73*J58</f>
        <v>496.56399691425418</v>
      </c>
    </row>
    <row r="75" spans="6:12" x14ac:dyDescent="0.25">
      <c r="F75" t="s">
        <v>215</v>
      </c>
      <c r="J75">
        <f>J56/J72</f>
        <v>5</v>
      </c>
    </row>
    <row r="76" spans="6:12" x14ac:dyDescent="0.25">
      <c r="F76" t="s">
        <v>216</v>
      </c>
      <c r="J76" s="195">
        <f>J75*J59</f>
        <v>124.14099922856354</v>
      </c>
    </row>
    <row r="77" spans="6:12" x14ac:dyDescent="0.25">
      <c r="F77" t="s">
        <v>213</v>
      </c>
      <c r="J77" s="195">
        <f>J74*J71</f>
        <v>9931.2799382850826</v>
      </c>
      <c r="K77" s="195">
        <f>J77/60</f>
        <v>165.52133230475138</v>
      </c>
      <c r="L77" s="195">
        <f>K77/60</f>
        <v>2.7586888717458562</v>
      </c>
    </row>
    <row r="78" spans="6:12" x14ac:dyDescent="0.25">
      <c r="F78" t="s">
        <v>214</v>
      </c>
      <c r="J78" s="195">
        <f>J76*J71</f>
        <v>2482.8199845712707</v>
      </c>
      <c r="K78" s="195">
        <f>J78/60</f>
        <v>41.380333076187846</v>
      </c>
      <c r="L78" s="195">
        <f>K78/60</f>
        <v>0.68967221793646405</v>
      </c>
    </row>
    <row r="80" spans="6:12" x14ac:dyDescent="0.25">
      <c r="F80" t="s">
        <v>217</v>
      </c>
      <c r="J80" s="195">
        <f>J62+J68+J77</f>
        <v>60567.541238562248</v>
      </c>
      <c r="K80" s="195">
        <f>J80/60</f>
        <v>1009.4590206427041</v>
      </c>
      <c r="L80" s="195">
        <f>K80/60</f>
        <v>16.824317010711734</v>
      </c>
    </row>
    <row r="81" spans="6:12" x14ac:dyDescent="0.25">
      <c r="F81" t="s">
        <v>218</v>
      </c>
      <c r="J81" s="195">
        <f>J63+J69+J78</f>
        <v>15376.78151627937</v>
      </c>
      <c r="K81" s="195">
        <f>J81/60</f>
        <v>256.27969193798953</v>
      </c>
      <c r="L81" s="195">
        <f>K81/60</f>
        <v>4.2713281989664917</v>
      </c>
    </row>
    <row r="83" spans="6:12" x14ac:dyDescent="0.25">
      <c r="F83" t="s">
        <v>219</v>
      </c>
      <c r="J83" s="94">
        <v>20</v>
      </c>
    </row>
    <row r="84" spans="6:12" x14ac:dyDescent="0.25">
      <c r="F84" t="s">
        <v>220</v>
      </c>
      <c r="J84">
        <f>J83/K60</f>
        <v>1.2</v>
      </c>
    </row>
    <row r="85" spans="6:12" x14ac:dyDescent="0.25">
      <c r="F85" t="s">
        <v>221</v>
      </c>
      <c r="J85">
        <f>J83/K61</f>
        <v>2.4</v>
      </c>
    </row>
    <row r="86" spans="6:12" x14ac:dyDescent="0.25">
      <c r="F86" t="s">
        <v>222</v>
      </c>
      <c r="J86" s="195">
        <f>K80/J83</f>
        <v>50.472951032135207</v>
      </c>
    </row>
    <row r="87" spans="6:12" x14ac:dyDescent="0.25">
      <c r="F87" t="s">
        <v>223</v>
      </c>
      <c r="J87" s="195">
        <f>K81/J83</f>
        <v>12.813984596899477</v>
      </c>
    </row>
    <row r="88" spans="6:12" x14ac:dyDescent="0.25">
      <c r="F88" t="s">
        <v>224</v>
      </c>
      <c r="J88" s="195">
        <f>J58/J84</f>
        <v>41.380333076187853</v>
      </c>
    </row>
    <row r="89" spans="6:12" x14ac:dyDescent="0.25">
      <c r="F89" t="s">
        <v>225</v>
      </c>
      <c r="J89" s="195">
        <f>J59/J85</f>
        <v>10.345083269046963</v>
      </c>
    </row>
    <row r="91" spans="6:12" x14ac:dyDescent="0.25">
      <c r="F91" t="s">
        <v>228</v>
      </c>
      <c r="J91" s="94">
        <v>2500</v>
      </c>
    </row>
    <row r="92" spans="6:12" x14ac:dyDescent="0.25">
      <c r="F92" t="s">
        <v>226</v>
      </c>
      <c r="J92">
        <f>J55/J91</f>
        <v>2</v>
      </c>
    </row>
    <row r="93" spans="6:12" x14ac:dyDescent="0.25">
      <c r="F93" t="s">
        <v>227</v>
      </c>
      <c r="J93">
        <f>J56/J91</f>
        <v>1</v>
      </c>
    </row>
  </sheetData>
  <mergeCells count="25">
    <mergeCell ref="K27:L27"/>
    <mergeCell ref="K29:L29"/>
    <mergeCell ref="A1:D1"/>
    <mergeCell ref="F18:H18"/>
    <mergeCell ref="G19:H19"/>
    <mergeCell ref="G20:H20"/>
    <mergeCell ref="G21:H21"/>
    <mergeCell ref="G22:H22"/>
    <mergeCell ref="F45:I45"/>
    <mergeCell ref="G23:H23"/>
    <mergeCell ref="G24:H24"/>
    <mergeCell ref="G25:H25"/>
    <mergeCell ref="F27:J27"/>
    <mergeCell ref="A34:D34"/>
    <mergeCell ref="F41:J41"/>
    <mergeCell ref="F42:I42"/>
    <mergeCell ref="F43:I43"/>
    <mergeCell ref="F44:I44"/>
    <mergeCell ref="F52:I52"/>
    <mergeCell ref="F46:I46"/>
    <mergeCell ref="F47:I47"/>
    <mergeCell ref="F48:I48"/>
    <mergeCell ref="F49:I49"/>
    <mergeCell ref="F50:I50"/>
    <mergeCell ref="F51:I51"/>
  </mergeCells>
  <pageMargins left="0.7" right="0.7" top="0.75" bottom="0.75"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8CD7D6-D9DA-441F-9C58-357B335AAA39}">
  <sheetPr>
    <tabColor theme="8"/>
  </sheetPr>
  <dimension ref="A1:AC59"/>
  <sheetViews>
    <sheetView zoomScaleNormal="100" workbookViewId="0">
      <selection activeCell="D55" sqref="D55"/>
    </sheetView>
  </sheetViews>
  <sheetFormatPr defaultRowHeight="15" x14ac:dyDescent="0.25"/>
  <cols>
    <col min="1" max="1" width="55.85546875" bestFit="1" customWidth="1"/>
    <col min="2" max="2" width="9.140625" style="1"/>
    <col min="3" max="3" width="10" style="1" bestFit="1" customWidth="1"/>
    <col min="4" max="4" width="77.5703125" bestFit="1" customWidth="1"/>
    <col min="6" max="6" width="11.42578125" customWidth="1"/>
    <col min="7" max="7" width="13.7109375" customWidth="1"/>
  </cols>
  <sheetData>
    <row r="1" spans="1:14" ht="19.5" thickBot="1" x14ac:dyDescent="0.35">
      <c r="A1" s="264" t="s">
        <v>260</v>
      </c>
      <c r="B1" s="265"/>
      <c r="C1" s="265"/>
      <c r="D1" s="266"/>
    </row>
    <row r="2" spans="1:14" ht="15.75" thickBot="1" x14ac:dyDescent="0.3">
      <c r="A2" s="79" t="s">
        <v>94</v>
      </c>
      <c r="B2" s="64" t="s">
        <v>0</v>
      </c>
      <c r="C2" s="80" t="s">
        <v>29</v>
      </c>
      <c r="D2" s="81" t="s">
        <v>1</v>
      </c>
      <c r="L2" s="34" t="s">
        <v>61</v>
      </c>
      <c r="M2" s="35" t="s">
        <v>291</v>
      </c>
      <c r="N2" s="36">
        <v>45478</v>
      </c>
    </row>
    <row r="3" spans="1:14" x14ac:dyDescent="0.25">
      <c r="A3" s="65" t="s">
        <v>134</v>
      </c>
      <c r="B3" s="66">
        <v>80</v>
      </c>
      <c r="C3" s="67" t="s">
        <v>33</v>
      </c>
      <c r="D3" s="68" t="s">
        <v>279</v>
      </c>
    </row>
    <row r="4" spans="1:14" x14ac:dyDescent="0.25">
      <c r="A4" s="12" t="s">
        <v>135</v>
      </c>
      <c r="B4" s="58">
        <v>5</v>
      </c>
      <c r="C4" s="2" t="s">
        <v>32</v>
      </c>
      <c r="D4" s="13" t="s">
        <v>51</v>
      </c>
    </row>
    <row r="5" spans="1:14" x14ac:dyDescent="0.25">
      <c r="A5" s="12" t="s">
        <v>145</v>
      </c>
      <c r="B5" s="58">
        <v>75</v>
      </c>
      <c r="C5" s="2" t="s">
        <v>34</v>
      </c>
      <c r="D5" s="13" t="s">
        <v>261</v>
      </c>
    </row>
    <row r="6" spans="1:14" x14ac:dyDescent="0.25">
      <c r="A6" s="12" t="s">
        <v>139</v>
      </c>
      <c r="B6" s="99">
        <v>0.33</v>
      </c>
      <c r="C6" s="2" t="s">
        <v>137</v>
      </c>
      <c r="D6" s="13" t="s">
        <v>138</v>
      </c>
    </row>
    <row r="7" spans="1:14" ht="15.75" customHeight="1" x14ac:dyDescent="0.25">
      <c r="A7" s="12" t="s">
        <v>120</v>
      </c>
      <c r="B7" s="58">
        <v>500</v>
      </c>
      <c r="C7" s="2" t="s">
        <v>30</v>
      </c>
      <c r="D7" s="13" t="s">
        <v>266</v>
      </c>
    </row>
    <row r="8" spans="1:14" ht="15.75" thickBot="1" x14ac:dyDescent="0.3">
      <c r="A8" s="12" t="s">
        <v>99</v>
      </c>
      <c r="B8" s="58">
        <v>250</v>
      </c>
      <c r="C8" s="2" t="s">
        <v>31</v>
      </c>
      <c r="D8" s="13" t="s">
        <v>265</v>
      </c>
    </row>
    <row r="9" spans="1:14" ht="15.75" thickBot="1" x14ac:dyDescent="0.3">
      <c r="A9" s="14" t="s">
        <v>140</v>
      </c>
      <c r="B9" s="101">
        <f>2*$B$25*TAN(($B$27/2)*PI()/180)</f>
        <v>122.77231807663367</v>
      </c>
      <c r="C9" s="3" t="s">
        <v>33</v>
      </c>
      <c r="D9" s="13"/>
      <c r="F9" s="260" t="s">
        <v>103</v>
      </c>
      <c r="G9" s="255"/>
      <c r="H9" s="255"/>
      <c r="I9" s="255"/>
      <c r="J9" s="256"/>
    </row>
    <row r="10" spans="1:14" x14ac:dyDescent="0.25">
      <c r="A10" s="14" t="s">
        <v>144</v>
      </c>
      <c r="B10" s="101">
        <f>B9*(1-B6)</f>
        <v>82.257453111344546</v>
      </c>
      <c r="C10" s="3" t="s">
        <v>33</v>
      </c>
      <c r="D10" s="13"/>
      <c r="F10" s="40" t="s">
        <v>104</v>
      </c>
      <c r="G10" s="58">
        <v>200</v>
      </c>
      <c r="H10" t="s">
        <v>30</v>
      </c>
      <c r="J10" s="88"/>
    </row>
    <row r="11" spans="1:14" ht="17.25" x14ac:dyDescent="0.25">
      <c r="A11" s="14" t="s">
        <v>142</v>
      </c>
      <c r="B11" s="4">
        <f>$B$32</f>
        <v>814.51585802575357</v>
      </c>
      <c r="C11" s="3" t="s">
        <v>60</v>
      </c>
      <c r="D11" s="13" t="s">
        <v>8</v>
      </c>
      <c r="F11" s="40" t="s">
        <v>106</v>
      </c>
      <c r="G11" s="58">
        <v>60</v>
      </c>
      <c r="H11" t="s">
        <v>33</v>
      </c>
      <c r="J11" s="88"/>
    </row>
    <row r="12" spans="1:14" ht="18" thickBot="1" x14ac:dyDescent="0.3">
      <c r="A12" s="14" t="s">
        <v>143</v>
      </c>
      <c r="B12" s="4">
        <f>B11*2</f>
        <v>1629.0317160515071</v>
      </c>
      <c r="C12" s="3" t="s">
        <v>60</v>
      </c>
      <c r="D12" s="13" t="s">
        <v>8</v>
      </c>
      <c r="F12" s="40" t="s">
        <v>105</v>
      </c>
      <c r="G12" s="58">
        <v>5</v>
      </c>
      <c r="H12" t="s">
        <v>32</v>
      </c>
      <c r="J12" s="88"/>
    </row>
    <row r="13" spans="1:14" ht="15.75" thickBot="1" x14ac:dyDescent="0.3">
      <c r="A13" s="14" t="s">
        <v>48</v>
      </c>
      <c r="B13" s="4">
        <f>$B$33</f>
        <v>5.2359885036267473</v>
      </c>
      <c r="C13" s="3" t="s">
        <v>58</v>
      </c>
      <c r="D13" s="13" t="s">
        <v>116</v>
      </c>
      <c r="F13" s="260" t="s">
        <v>110</v>
      </c>
      <c r="G13" s="255"/>
      <c r="H13" s="255"/>
      <c r="I13" s="255"/>
      <c r="J13" s="256"/>
    </row>
    <row r="14" spans="1:14" x14ac:dyDescent="0.25">
      <c r="A14" s="14" t="s">
        <v>49</v>
      </c>
      <c r="B14" s="4">
        <f>$B$34</f>
        <v>2</v>
      </c>
      <c r="C14" s="3" t="s">
        <v>58</v>
      </c>
      <c r="D14" s="13" t="s">
        <v>116</v>
      </c>
      <c r="F14" s="40" t="s">
        <v>109</v>
      </c>
      <c r="I14" s="89">
        <f>SQRT((G12*360*180)/(G10*1000*G11*PI()))</f>
        <v>9.2705808485565505E-2</v>
      </c>
      <c r="J14" s="90" t="s">
        <v>34</v>
      </c>
    </row>
    <row r="15" spans="1:14" ht="14.25" customHeight="1" x14ac:dyDescent="0.25">
      <c r="A15" s="14" t="s">
        <v>85</v>
      </c>
      <c r="B15" s="4">
        <f>B35</f>
        <v>5.2800001916640085</v>
      </c>
      <c r="C15" s="3" t="s">
        <v>58</v>
      </c>
      <c r="D15" s="13" t="s">
        <v>87</v>
      </c>
      <c r="F15" s="40" t="s">
        <v>111</v>
      </c>
      <c r="I15" s="91">
        <f>(G10*1000*I14)/360</f>
        <v>51.503226936425278</v>
      </c>
      <c r="J15" s="90" t="s">
        <v>31</v>
      </c>
    </row>
    <row r="16" spans="1:14" ht="16.5" customHeight="1" thickBot="1" x14ac:dyDescent="0.3">
      <c r="A16" s="22" t="s">
        <v>86</v>
      </c>
      <c r="B16" s="77">
        <f>B36</f>
        <v>5.2800001916640085</v>
      </c>
      <c r="C16" s="78" t="s">
        <v>58</v>
      </c>
      <c r="D16" s="70" t="s">
        <v>87</v>
      </c>
      <c r="F16" s="40" t="s">
        <v>114</v>
      </c>
      <c r="I16" s="41">
        <f>(I14*PI()*G11)/180*100</f>
        <v>9.7081295627784954</v>
      </c>
      <c r="J16" s="90" t="s">
        <v>58</v>
      </c>
    </row>
    <row r="17" spans="1:29" ht="15" customHeight="1" thickBot="1" x14ac:dyDescent="0.3">
      <c r="A17" s="29" t="s">
        <v>92</v>
      </c>
      <c r="B17" s="30" t="s">
        <v>0</v>
      </c>
      <c r="C17" s="30" t="s">
        <v>29</v>
      </c>
      <c r="D17" s="31" t="s">
        <v>1</v>
      </c>
      <c r="F17" s="40" t="s">
        <v>115</v>
      </c>
      <c r="I17" s="41">
        <f>G12/I15*100</f>
        <v>9.7081295627784954</v>
      </c>
      <c r="J17" s="90" t="s">
        <v>58</v>
      </c>
      <c r="W17" s="260" t="s">
        <v>98</v>
      </c>
      <c r="X17" s="255"/>
      <c r="Y17" s="256"/>
    </row>
    <row r="18" spans="1:29" ht="15.75" customHeight="1" thickBot="1" x14ac:dyDescent="0.3">
      <c r="A18" s="24" t="s">
        <v>35</v>
      </c>
      <c r="B18" s="9">
        <f>B7</f>
        <v>500</v>
      </c>
      <c r="C18" s="6" t="s">
        <v>30</v>
      </c>
      <c r="D18" s="16" t="s">
        <v>89</v>
      </c>
      <c r="F18" s="260" t="s">
        <v>112</v>
      </c>
      <c r="G18" s="255"/>
      <c r="H18" s="255"/>
      <c r="I18" s="255"/>
      <c r="J18" s="256"/>
      <c r="W18" s="39">
        <f>$B$31</f>
        <v>613.86159038316828</v>
      </c>
      <c r="X18" s="83" t="s">
        <v>68</v>
      </c>
      <c r="Y18" s="84"/>
    </row>
    <row r="19" spans="1:29" ht="17.25" x14ac:dyDescent="0.25">
      <c r="A19" s="24" t="s">
        <v>37</v>
      </c>
      <c r="B19" s="6">
        <f>B8</f>
        <v>250</v>
      </c>
      <c r="C19" s="6" t="s">
        <v>31</v>
      </c>
      <c r="D19" s="13" t="s">
        <v>97</v>
      </c>
      <c r="F19" s="40" t="s">
        <v>113</v>
      </c>
      <c r="I19" s="58">
        <v>3.5999999999999997E-2</v>
      </c>
      <c r="J19" s="90" t="s">
        <v>34</v>
      </c>
      <c r="W19" s="39">
        <f>W18*60</f>
        <v>36831.695422990095</v>
      </c>
      <c r="X19" s="38" t="s">
        <v>62</v>
      </c>
      <c r="Y19" s="85"/>
    </row>
    <row r="20" spans="1:29" ht="17.25" x14ac:dyDescent="0.25">
      <c r="A20" s="24" t="s">
        <v>83</v>
      </c>
      <c r="B20" s="6">
        <v>0.66</v>
      </c>
      <c r="C20" s="6" t="s">
        <v>77</v>
      </c>
      <c r="D20" s="13" t="s">
        <v>80</v>
      </c>
      <c r="F20" s="267" t="s">
        <v>37</v>
      </c>
      <c r="G20" s="268"/>
      <c r="I20">
        <f>(G10*1000*I19)/360</f>
        <v>19.999999999999996</v>
      </c>
      <c r="J20" s="90" t="s">
        <v>31</v>
      </c>
      <c r="W20" s="59">
        <f>W19/1000000</f>
        <v>3.6831695422990092E-2</v>
      </c>
      <c r="X20" s="38" t="s">
        <v>63</v>
      </c>
      <c r="Y20" s="85"/>
    </row>
    <row r="21" spans="1:29" ht="17.25" x14ac:dyDescent="0.25">
      <c r="A21" s="24" t="s">
        <v>84</v>
      </c>
      <c r="B21" s="6">
        <v>0.66</v>
      </c>
      <c r="C21" s="6" t="s">
        <v>77</v>
      </c>
      <c r="D21" s="13" t="s">
        <v>80</v>
      </c>
      <c r="F21" s="267" t="s">
        <v>107</v>
      </c>
      <c r="G21" s="268"/>
      <c r="I21" s="41">
        <f>((I19*PI()*G11)/180)*100</f>
        <v>3.7699111843077513</v>
      </c>
      <c r="J21" s="90" t="s">
        <v>58</v>
      </c>
      <c r="W21" s="37">
        <f>W20*60</f>
        <v>2.2099017253794053</v>
      </c>
      <c r="X21" s="248" t="s">
        <v>64</v>
      </c>
      <c r="Y21" s="249"/>
    </row>
    <row r="22" spans="1:29" ht="18" thickBot="1" x14ac:dyDescent="0.3">
      <c r="A22" s="25" t="s">
        <v>10</v>
      </c>
      <c r="B22" s="26">
        <v>1</v>
      </c>
      <c r="C22" s="28" t="s">
        <v>47</v>
      </c>
      <c r="D22" s="27" t="s">
        <v>96</v>
      </c>
      <c r="F22" s="269" t="s">
        <v>108</v>
      </c>
      <c r="G22" s="270"/>
      <c r="H22" s="43"/>
      <c r="I22" s="44">
        <f>(G12/I20)*100</f>
        <v>25.000000000000007</v>
      </c>
      <c r="J22" s="92" t="s">
        <v>58</v>
      </c>
      <c r="W22" s="37">
        <f>W21*0.386102</f>
        <v>0.85324747597243911</v>
      </c>
      <c r="X22" s="248" t="s">
        <v>65</v>
      </c>
      <c r="Y22" s="249"/>
    </row>
    <row r="23" spans="1:29" ht="15.75" thickBot="1" x14ac:dyDescent="0.3">
      <c r="A23" s="205" t="s">
        <v>262</v>
      </c>
      <c r="B23" s="206">
        <v>75</v>
      </c>
      <c r="C23" s="207" t="s">
        <v>34</v>
      </c>
      <c r="D23" s="33"/>
      <c r="F23" s="204"/>
      <c r="G23" s="204"/>
      <c r="I23" s="41"/>
      <c r="J23" s="1"/>
      <c r="W23" s="37"/>
      <c r="X23" s="38"/>
      <c r="Y23" s="85"/>
    </row>
    <row r="24" spans="1:29" ht="15.75" thickBot="1" x14ac:dyDescent="0.3">
      <c r="A24" s="29" t="s">
        <v>93</v>
      </c>
      <c r="B24" s="30" t="s">
        <v>0</v>
      </c>
      <c r="C24" s="30" t="s">
        <v>29</v>
      </c>
      <c r="D24" s="31" t="s">
        <v>1</v>
      </c>
      <c r="W24" s="39">
        <f>W21*247.105</f>
        <v>546.07776584987789</v>
      </c>
      <c r="X24" s="248" t="s">
        <v>66</v>
      </c>
      <c r="Y24" s="249"/>
    </row>
    <row r="25" spans="1:29" ht="15.75" thickBot="1" x14ac:dyDescent="0.3">
      <c r="A25" s="71" t="s">
        <v>38</v>
      </c>
      <c r="B25" s="72">
        <f>$B$3</f>
        <v>80</v>
      </c>
      <c r="C25" s="73" t="s">
        <v>33</v>
      </c>
      <c r="D25" s="16" t="s">
        <v>97</v>
      </c>
      <c r="F25" s="260" t="s">
        <v>98</v>
      </c>
      <c r="G25" s="255"/>
      <c r="H25" s="256"/>
      <c r="W25" s="82">
        <f>W21*100</f>
        <v>220.99017253794054</v>
      </c>
      <c r="X25" s="250" t="s">
        <v>67</v>
      </c>
      <c r="Y25" s="251"/>
    </row>
    <row r="26" spans="1:29" ht="17.25" x14ac:dyDescent="0.25">
      <c r="A26" s="15" t="s">
        <v>3</v>
      </c>
      <c r="B26" s="5">
        <f>$B$4</f>
        <v>5</v>
      </c>
      <c r="C26" s="6" t="s">
        <v>32</v>
      </c>
      <c r="D26" s="16" t="s">
        <v>97</v>
      </c>
      <c r="F26" s="39">
        <f>$B$31</f>
        <v>613.86159038316828</v>
      </c>
      <c r="G26" s="261" t="s">
        <v>68</v>
      </c>
      <c r="H26" s="262"/>
    </row>
    <row r="27" spans="1:29" ht="17.25" x14ac:dyDescent="0.25">
      <c r="A27" s="15" t="s">
        <v>36</v>
      </c>
      <c r="B27" s="5">
        <f>$B$5</f>
        <v>75</v>
      </c>
      <c r="C27" s="6" t="s">
        <v>34</v>
      </c>
      <c r="D27" s="16" t="s">
        <v>97</v>
      </c>
      <c r="F27" s="39">
        <f>F26*60</f>
        <v>36831.695422990095</v>
      </c>
      <c r="G27" s="248" t="s">
        <v>62</v>
      </c>
      <c r="H27" s="249"/>
    </row>
    <row r="28" spans="1:29" ht="17.25" x14ac:dyDescent="0.25">
      <c r="A28" s="15" t="s">
        <v>39</v>
      </c>
      <c r="B28" s="7">
        <f>$B$27/$B$23*$B$18</f>
        <v>500</v>
      </c>
      <c r="C28" s="6" t="s">
        <v>30</v>
      </c>
      <c r="D28" s="13" t="s">
        <v>267</v>
      </c>
      <c r="F28" s="59">
        <f>F27/1000000</f>
        <v>3.6831695422990092E-2</v>
      </c>
      <c r="G28" s="248" t="s">
        <v>63</v>
      </c>
      <c r="H28" s="249"/>
    </row>
    <row r="29" spans="1:29" ht="18" thickBot="1" x14ac:dyDescent="0.3">
      <c r="A29" s="15" t="s">
        <v>40</v>
      </c>
      <c r="B29" s="7">
        <f>2*$B$25*TAN(($B$27/2)*PI()/180)</f>
        <v>122.77231807663367</v>
      </c>
      <c r="C29" s="6" t="s">
        <v>33</v>
      </c>
      <c r="D29" s="13" t="s">
        <v>7</v>
      </c>
      <c r="F29" s="37">
        <f>F28*60</f>
        <v>2.2099017253794053</v>
      </c>
      <c r="G29" s="248" t="s">
        <v>64</v>
      </c>
      <c r="H29" s="249"/>
    </row>
    <row r="30" spans="1:29" ht="18" thickBot="1" x14ac:dyDescent="0.3">
      <c r="A30" s="15" t="s">
        <v>41</v>
      </c>
      <c r="B30" s="5">
        <f>$B$26</f>
        <v>5</v>
      </c>
      <c r="C30" s="6" t="s">
        <v>33</v>
      </c>
      <c r="D30" s="13" t="s">
        <v>3</v>
      </c>
      <c r="F30" s="37">
        <f>F29*0.386102</f>
        <v>0.85324747597243911</v>
      </c>
      <c r="G30" s="248" t="s">
        <v>65</v>
      </c>
      <c r="H30" s="249"/>
      <c r="W30" s="260" t="s">
        <v>72</v>
      </c>
      <c r="X30" s="255"/>
      <c r="Y30" s="255"/>
      <c r="Z30" s="255"/>
      <c r="AA30" s="256"/>
      <c r="AB30" s="260" t="s">
        <v>75</v>
      </c>
      <c r="AC30" s="256"/>
    </row>
    <row r="31" spans="1:29" ht="18" thickBot="1" x14ac:dyDescent="0.3">
      <c r="A31" s="15" t="s">
        <v>42</v>
      </c>
      <c r="B31" s="7">
        <f>$B$29*$B$30</f>
        <v>613.86159038316828</v>
      </c>
      <c r="C31" s="6" t="s">
        <v>53</v>
      </c>
      <c r="D31" s="13" t="s">
        <v>2</v>
      </c>
      <c r="F31" s="39">
        <f>F29*247.105</f>
        <v>546.07776584987789</v>
      </c>
      <c r="G31" s="248" t="s">
        <v>66</v>
      </c>
      <c r="H31" s="249"/>
      <c r="W31" s="47" t="s">
        <v>69</v>
      </c>
      <c r="X31" s="48" t="s">
        <v>70</v>
      </c>
      <c r="Y31" s="48" t="s">
        <v>71</v>
      </c>
      <c r="Z31" s="48" t="s">
        <v>73</v>
      </c>
      <c r="AA31" s="49" t="s">
        <v>74</v>
      </c>
      <c r="AB31" s="47" t="s">
        <v>76</v>
      </c>
      <c r="AC31" s="54">
        <f>B6</f>
        <v>0.33</v>
      </c>
    </row>
    <row r="32" spans="1:29" ht="15.75" customHeight="1" thickBot="1" x14ac:dyDescent="0.3">
      <c r="A32" s="15" t="s">
        <v>43</v>
      </c>
      <c r="B32" s="7">
        <f>$B$28*1000/$B$31</f>
        <v>814.51585802575357</v>
      </c>
      <c r="C32" s="6" t="s">
        <v>54</v>
      </c>
      <c r="D32" s="13" t="s">
        <v>4</v>
      </c>
      <c r="F32" s="82">
        <f>F29*100</f>
        <v>220.99017253794054</v>
      </c>
      <c r="G32" s="250" t="s">
        <v>67</v>
      </c>
      <c r="H32" s="251"/>
      <c r="W32" s="51">
        <v>5</v>
      </c>
      <c r="X32" s="52">
        <f t="shared" ref="X32:X40" si="0">$W$24/60*W32*(1-$AC$31)</f>
        <v>30.489341926618177</v>
      </c>
      <c r="Y32" s="52">
        <f t="shared" ref="Y32:Y40" si="1">$W$25/60*W32*(1-$AC$31)</f>
        <v>12.33861796670168</v>
      </c>
      <c r="Z32" s="52">
        <f t="shared" ref="Z32:Z40" si="2">$W$21/60*W32*(1-$AC$31)</f>
        <v>0.12338617966701679</v>
      </c>
      <c r="AA32" s="53">
        <f t="shared" ref="AA32:AA40" si="3">$W$22/60*W32*(1-$AC$31)</f>
        <v>4.7639650741794513E-2</v>
      </c>
    </row>
    <row r="33" spans="1:27" ht="14.25" customHeight="1" thickBot="1" x14ac:dyDescent="0.3">
      <c r="A33" s="60" t="s">
        <v>44</v>
      </c>
      <c r="B33" s="61">
        <f>$B$42</f>
        <v>5.2359885036267473</v>
      </c>
      <c r="C33" s="62" t="s">
        <v>58</v>
      </c>
      <c r="D33" s="63" t="s">
        <v>23</v>
      </c>
      <c r="W33" s="46">
        <v>15</v>
      </c>
      <c r="X33" s="41">
        <f t="shared" si="0"/>
        <v>91.468025779854543</v>
      </c>
      <c r="Y33" s="41">
        <f t="shared" si="1"/>
        <v>37.015853900105036</v>
      </c>
      <c r="Z33" s="41">
        <f t="shared" si="2"/>
        <v>0.37015853900105034</v>
      </c>
      <c r="AA33" s="42">
        <f t="shared" si="3"/>
        <v>0.14291895222538353</v>
      </c>
    </row>
    <row r="34" spans="1:27" ht="15" customHeight="1" thickBot="1" x14ac:dyDescent="0.3">
      <c r="A34" s="15" t="s">
        <v>45</v>
      </c>
      <c r="B34" s="7">
        <f>$B$44</f>
        <v>2</v>
      </c>
      <c r="C34" s="6" t="s">
        <v>58</v>
      </c>
      <c r="D34" s="13" t="s">
        <v>24</v>
      </c>
      <c r="F34" s="252" t="s">
        <v>72</v>
      </c>
      <c r="G34" s="253"/>
      <c r="H34" s="253"/>
      <c r="I34" s="253"/>
      <c r="J34" s="254"/>
      <c r="K34" s="255" t="s">
        <v>75</v>
      </c>
      <c r="L34" s="256"/>
      <c r="M34" s="160" t="s">
        <v>189</v>
      </c>
      <c r="W34" s="46">
        <v>20</v>
      </c>
      <c r="X34" s="41">
        <f t="shared" si="0"/>
        <v>121.95736770647271</v>
      </c>
      <c r="Y34" s="41">
        <f t="shared" si="1"/>
        <v>49.354471866806719</v>
      </c>
      <c r="Z34" s="41">
        <f t="shared" si="2"/>
        <v>0.49354471866806715</v>
      </c>
      <c r="AA34" s="42">
        <f t="shared" si="3"/>
        <v>0.19055860296717805</v>
      </c>
    </row>
    <row r="35" spans="1:27" ht="14.25" customHeight="1" thickBot="1" x14ac:dyDescent="0.3">
      <c r="A35" s="15" t="s">
        <v>78</v>
      </c>
      <c r="B35" s="7">
        <f>2*($B$3*TAN((B20/2)/1000))*100</f>
        <v>5.2800001916640085</v>
      </c>
      <c r="C35" s="6" t="s">
        <v>58</v>
      </c>
      <c r="D35" s="13" t="s">
        <v>81</v>
      </c>
      <c r="F35" s="166" t="s">
        <v>69</v>
      </c>
      <c r="G35" s="69" t="s">
        <v>70</v>
      </c>
      <c r="H35" s="69" t="s">
        <v>71</v>
      </c>
      <c r="I35" s="69" t="s">
        <v>73</v>
      </c>
      <c r="J35" s="172" t="s">
        <v>74</v>
      </c>
      <c r="K35" s="162" t="s">
        <v>76</v>
      </c>
      <c r="L35" s="163">
        <f>B6*M35</f>
        <v>0.33</v>
      </c>
      <c r="M35">
        <v>1</v>
      </c>
      <c r="W35" s="46">
        <v>25</v>
      </c>
      <c r="X35" s="41">
        <f t="shared" si="0"/>
        <v>152.4467096330909</v>
      </c>
      <c r="Y35" s="41">
        <f t="shared" si="1"/>
        <v>61.693089833508402</v>
      </c>
      <c r="Z35" s="41">
        <f t="shared" si="2"/>
        <v>0.61693089833508397</v>
      </c>
      <c r="AA35" s="42">
        <f t="shared" si="3"/>
        <v>0.23819825370897255</v>
      </c>
    </row>
    <row r="36" spans="1:27" ht="14.25" customHeight="1" thickBot="1" x14ac:dyDescent="0.3">
      <c r="A36" s="23" t="s">
        <v>79</v>
      </c>
      <c r="B36" s="7">
        <f>2*($B$3*TAN((B21/2)/1000))*100</f>
        <v>5.2800001916640085</v>
      </c>
      <c r="C36" s="69" t="s">
        <v>58</v>
      </c>
      <c r="D36" s="21" t="s">
        <v>82</v>
      </c>
      <c r="F36" s="178">
        <f>J49</f>
        <v>18</v>
      </c>
      <c r="G36" s="179">
        <f>$F$31/60*F36*(1-$L$35)*(1-$L$37)</f>
        <v>89.632220264508476</v>
      </c>
      <c r="H36" s="179">
        <f>$F$32/60*F36*(1-$L$35)*(1-$L$37)</f>
        <v>36.272928619213893</v>
      </c>
      <c r="I36" s="179">
        <f>$F$29/60*F36*(1-$L$35)*(1-$L$37)</f>
        <v>0.3627292861921389</v>
      </c>
      <c r="J36" s="180">
        <f>$F$30/60*F36*(1-$L$35)*(1-$L$37)</f>
        <v>0.14005050285735721</v>
      </c>
      <c r="K36" s="263" t="s">
        <v>187</v>
      </c>
      <c r="L36" s="245"/>
      <c r="M36" s="160" t="s">
        <v>189</v>
      </c>
      <c r="W36" s="46">
        <v>30</v>
      </c>
      <c r="X36" s="41">
        <f t="shared" si="0"/>
        <v>182.93605155970909</v>
      </c>
      <c r="Y36" s="41">
        <f t="shared" si="1"/>
        <v>74.031707800210071</v>
      </c>
      <c r="Z36" s="41">
        <f t="shared" si="2"/>
        <v>0.74031707800210067</v>
      </c>
      <c r="AA36" s="42">
        <f t="shared" si="3"/>
        <v>0.28583790445076707</v>
      </c>
    </row>
    <row r="37" spans="1:27" ht="14.25" customHeight="1" thickBot="1" x14ac:dyDescent="0.3">
      <c r="A37" s="74" t="s">
        <v>20</v>
      </c>
      <c r="B37" s="75"/>
      <c r="C37" s="75"/>
      <c r="D37" s="76"/>
      <c r="F37" s="191">
        <v>5</v>
      </c>
      <c r="G37" s="170">
        <f t="shared" ref="G37:G46" si="4">$F$31/60*F37*(1-$L$35)*(1-$L$37)</f>
        <v>24.897838962363462</v>
      </c>
      <c r="H37" s="170">
        <f t="shared" ref="H37:H46" si="5">$F$32/60*F37*(1-$L$35)*(1-$L$37)</f>
        <v>10.075813505337193</v>
      </c>
      <c r="I37" s="170">
        <f t="shared" ref="I37:I46" si="6">$F$29/60*F37*(1-$L$35)*(1-$L$37)</f>
        <v>0.10075813505337192</v>
      </c>
      <c r="J37" s="171">
        <f t="shared" ref="J37:J46" si="7">$F$30/60*F37*(1-$L$35)*(1-$L$37)</f>
        <v>3.8902917460377003E-2</v>
      </c>
      <c r="K37" s="194" t="s">
        <v>188</v>
      </c>
      <c r="L37" s="177">
        <f>J58*M37</f>
        <v>0.18339205148187054</v>
      </c>
      <c r="M37">
        <v>1</v>
      </c>
      <c r="W37" s="46">
        <v>45</v>
      </c>
      <c r="X37" s="41">
        <f t="shared" si="0"/>
        <v>274.40407733956363</v>
      </c>
      <c r="Y37" s="41">
        <f t="shared" si="1"/>
        <v>111.04756170031513</v>
      </c>
      <c r="Z37" s="41">
        <f t="shared" si="2"/>
        <v>1.1104756170031511</v>
      </c>
      <c r="AA37" s="42">
        <f t="shared" si="3"/>
        <v>0.42875685667615054</v>
      </c>
    </row>
    <row r="38" spans="1:27" ht="15.75" customHeight="1" x14ac:dyDescent="0.25">
      <c r="A38" s="15" t="s">
        <v>11</v>
      </c>
      <c r="B38" s="7">
        <f>$B$18/$B$22</f>
        <v>500</v>
      </c>
      <c r="C38" s="6" t="s">
        <v>30</v>
      </c>
      <c r="D38" s="13" t="s">
        <v>25</v>
      </c>
      <c r="F38" s="192">
        <v>10</v>
      </c>
      <c r="G38" s="161">
        <f t="shared" si="4"/>
        <v>49.795677924726924</v>
      </c>
      <c r="H38" s="161">
        <f t="shared" si="5"/>
        <v>20.151627010674385</v>
      </c>
      <c r="I38" s="161">
        <f t="shared" si="6"/>
        <v>0.20151627010674383</v>
      </c>
      <c r="J38" s="165">
        <f t="shared" si="7"/>
        <v>7.7805834920754005E-2</v>
      </c>
      <c r="W38" s="55">
        <v>60</v>
      </c>
      <c r="X38" s="56">
        <f t="shared" si="0"/>
        <v>365.87210311941817</v>
      </c>
      <c r="Y38" s="56">
        <f t="shared" si="1"/>
        <v>148.06341560042014</v>
      </c>
      <c r="Z38" s="56">
        <f t="shared" si="2"/>
        <v>1.4806341560042013</v>
      </c>
      <c r="AA38" s="57">
        <f t="shared" si="3"/>
        <v>0.57167580890153413</v>
      </c>
    </row>
    <row r="39" spans="1:27" x14ac:dyDescent="0.25">
      <c r="A39" s="15" t="s">
        <v>12</v>
      </c>
      <c r="B39" s="7">
        <f>$B$27/$B$23*$B$38</f>
        <v>500</v>
      </c>
      <c r="C39" s="6" t="s">
        <v>30</v>
      </c>
      <c r="D39" s="13" t="s">
        <v>264</v>
      </c>
      <c r="F39" s="192">
        <v>15</v>
      </c>
      <c r="G39" s="161">
        <f t="shared" si="4"/>
        <v>74.693516887090396</v>
      </c>
      <c r="H39" s="161">
        <f t="shared" si="5"/>
        <v>30.227440516011576</v>
      </c>
      <c r="I39" s="161">
        <f t="shared" si="6"/>
        <v>0.30227440516011572</v>
      </c>
      <c r="J39" s="165">
        <f t="shared" si="7"/>
        <v>0.116708752381131</v>
      </c>
      <c r="W39" s="46">
        <v>75</v>
      </c>
      <c r="X39" s="41">
        <f t="shared" si="0"/>
        <v>457.34012889927266</v>
      </c>
      <c r="Y39" s="41">
        <f t="shared" si="1"/>
        <v>185.07926950052519</v>
      </c>
      <c r="Z39" s="41">
        <f t="shared" si="2"/>
        <v>1.850792695005252</v>
      </c>
      <c r="AA39" s="42">
        <f t="shared" si="3"/>
        <v>0.71459476112691767</v>
      </c>
    </row>
    <row r="40" spans="1:27" ht="18" thickBot="1" x14ac:dyDescent="0.3">
      <c r="A40" s="15" t="s">
        <v>21</v>
      </c>
      <c r="B40" s="7">
        <f>$B$39*1000/$B$31</f>
        <v>814.51585802575357</v>
      </c>
      <c r="C40" s="8" t="s">
        <v>54</v>
      </c>
      <c r="D40" s="13" t="s">
        <v>22</v>
      </c>
      <c r="F40" s="192">
        <v>20</v>
      </c>
      <c r="G40" s="161">
        <f t="shared" si="4"/>
        <v>99.591355849453848</v>
      </c>
      <c r="H40" s="161">
        <f t="shared" si="5"/>
        <v>40.303254021348771</v>
      </c>
      <c r="I40" s="161">
        <f t="shared" si="6"/>
        <v>0.40303254021348767</v>
      </c>
      <c r="J40" s="165">
        <f t="shared" si="7"/>
        <v>0.15561166984150801</v>
      </c>
      <c r="W40" s="50">
        <v>90</v>
      </c>
      <c r="X40" s="44">
        <f t="shared" si="0"/>
        <v>548.80815467912726</v>
      </c>
      <c r="Y40" s="44">
        <f t="shared" si="1"/>
        <v>222.09512340063026</v>
      </c>
      <c r="Z40" s="44">
        <f t="shared" si="2"/>
        <v>2.2209512340063022</v>
      </c>
      <c r="AA40" s="45">
        <f t="shared" si="3"/>
        <v>0.85751371335230109</v>
      </c>
    </row>
    <row r="41" spans="1:27" x14ac:dyDescent="0.25">
      <c r="A41" s="15" t="s">
        <v>56</v>
      </c>
      <c r="B41" s="32">
        <f>($B$23*$B$19)/($B$38*1000)</f>
        <v>3.7499999999999999E-2</v>
      </c>
      <c r="C41" s="8" t="s">
        <v>57</v>
      </c>
      <c r="D41" s="13" t="s">
        <v>263</v>
      </c>
      <c r="F41" s="192">
        <v>25</v>
      </c>
      <c r="G41" s="161">
        <f t="shared" si="4"/>
        <v>124.48919481181733</v>
      </c>
      <c r="H41" s="161">
        <f t="shared" si="5"/>
        <v>50.379067526685965</v>
      </c>
      <c r="I41" s="161">
        <f t="shared" si="6"/>
        <v>0.50379067526685961</v>
      </c>
      <c r="J41" s="165">
        <f t="shared" si="7"/>
        <v>0.19451458730188498</v>
      </c>
    </row>
    <row r="42" spans="1:27" x14ac:dyDescent="0.25">
      <c r="A42" s="15" t="s">
        <v>13</v>
      </c>
      <c r="B42" s="7">
        <f>$B$25*TAN(($B$41)*PI()/180)*100</f>
        <v>5.2359885036267473</v>
      </c>
      <c r="C42" s="9" t="s">
        <v>58</v>
      </c>
      <c r="D42" s="33" t="s">
        <v>59</v>
      </c>
      <c r="F42" s="192">
        <v>30</v>
      </c>
      <c r="G42" s="161">
        <f t="shared" si="4"/>
        <v>149.38703377418079</v>
      </c>
      <c r="H42" s="161">
        <f t="shared" si="5"/>
        <v>60.454881032023152</v>
      </c>
      <c r="I42" s="161">
        <f t="shared" si="6"/>
        <v>0.60454881032023144</v>
      </c>
      <c r="J42" s="165">
        <f t="shared" si="7"/>
        <v>0.233417504762262</v>
      </c>
    </row>
    <row r="43" spans="1:27" ht="15" customHeight="1" thickBot="1" x14ac:dyDescent="0.3">
      <c r="A43" s="15" t="s">
        <v>14</v>
      </c>
      <c r="B43" s="7">
        <f>$B$26/$B$19*100</f>
        <v>2</v>
      </c>
      <c r="C43" s="9" t="s">
        <v>58</v>
      </c>
      <c r="D43" s="13" t="s">
        <v>5</v>
      </c>
      <c r="F43" s="193">
        <v>45</v>
      </c>
      <c r="G43" s="174">
        <f t="shared" si="4"/>
        <v>224.08055066127119</v>
      </c>
      <c r="H43" s="174">
        <f t="shared" si="5"/>
        <v>90.682321548034736</v>
      </c>
      <c r="I43" s="174">
        <f t="shared" si="6"/>
        <v>0.90682321548034728</v>
      </c>
      <c r="J43" s="175">
        <f t="shared" si="7"/>
        <v>0.35012625714339296</v>
      </c>
    </row>
    <row r="44" spans="1:27" ht="15" customHeight="1" thickBot="1" x14ac:dyDescent="0.3">
      <c r="A44" s="15" t="s">
        <v>9</v>
      </c>
      <c r="B44" s="7">
        <f>$B$26/$B$19/$B$22*100</f>
        <v>2</v>
      </c>
      <c r="C44" s="9" t="s">
        <v>58</v>
      </c>
      <c r="D44" s="13" t="s">
        <v>17</v>
      </c>
      <c r="F44" s="178">
        <v>60</v>
      </c>
      <c r="G44" s="179">
        <f t="shared" si="4"/>
        <v>298.77406754836159</v>
      </c>
      <c r="H44" s="179">
        <f t="shared" si="5"/>
        <v>120.9097620640463</v>
      </c>
      <c r="I44" s="179">
        <f t="shared" si="6"/>
        <v>1.2090976206404629</v>
      </c>
      <c r="J44" s="180">
        <f t="shared" si="7"/>
        <v>0.466835009524524</v>
      </c>
    </row>
    <row r="45" spans="1:27" x14ac:dyDescent="0.25">
      <c r="A45" s="17" t="s">
        <v>16</v>
      </c>
      <c r="B45" s="10">
        <f>2*$B$25*TAN((3.2/2)*PI()/180)</f>
        <v>4.4692046714539995</v>
      </c>
      <c r="C45" s="8" t="s">
        <v>33</v>
      </c>
      <c r="D45" s="13" t="s">
        <v>28</v>
      </c>
      <c r="F45" s="169">
        <v>75</v>
      </c>
      <c r="G45" s="170">
        <f t="shared" si="4"/>
        <v>373.46758443545195</v>
      </c>
      <c r="H45" s="170">
        <f t="shared" si="5"/>
        <v>151.13720258005787</v>
      </c>
      <c r="I45" s="170">
        <f t="shared" si="6"/>
        <v>1.5113720258005789</v>
      </c>
      <c r="J45" s="171">
        <f t="shared" si="7"/>
        <v>0.58354376190565505</v>
      </c>
    </row>
    <row r="46" spans="1:27" ht="15.75" thickBot="1" x14ac:dyDescent="0.3">
      <c r="A46" s="17" t="s">
        <v>18</v>
      </c>
      <c r="B46" s="11">
        <f>$B$45/($B$43/100)</f>
        <v>223.46023357269996</v>
      </c>
      <c r="C46" s="9" t="s">
        <v>47</v>
      </c>
      <c r="D46" s="13" t="s">
        <v>26</v>
      </c>
      <c r="F46" s="166">
        <v>90</v>
      </c>
      <c r="G46" s="167">
        <f t="shared" si="4"/>
        <v>448.16110132254238</v>
      </c>
      <c r="H46" s="167">
        <f t="shared" si="5"/>
        <v>181.36464309606947</v>
      </c>
      <c r="I46" s="167">
        <f t="shared" si="6"/>
        <v>1.8136464309606946</v>
      </c>
      <c r="J46" s="168">
        <f t="shared" si="7"/>
        <v>0.70025251428678592</v>
      </c>
    </row>
    <row r="47" spans="1:27" ht="15.75" thickBot="1" x14ac:dyDescent="0.3">
      <c r="A47" s="18" t="s">
        <v>19</v>
      </c>
      <c r="B47" s="19">
        <f>B46/B19</f>
        <v>0.8938409342907998</v>
      </c>
      <c r="C47" s="20" t="s">
        <v>46</v>
      </c>
      <c r="D47" s="21" t="s">
        <v>27</v>
      </c>
    </row>
    <row r="48" spans="1:27" ht="15.75" thickBot="1" x14ac:dyDescent="0.3">
      <c r="A48" s="74" t="s">
        <v>287</v>
      </c>
      <c r="B48" s="209"/>
      <c r="C48" s="209"/>
      <c r="D48" s="210"/>
      <c r="F48" s="243" t="s">
        <v>190</v>
      </c>
      <c r="G48" s="244"/>
      <c r="H48" s="244"/>
      <c r="I48" s="244"/>
      <c r="J48" s="245"/>
    </row>
    <row r="49" spans="1:10" x14ac:dyDescent="0.25">
      <c r="A49" s="15" t="s">
        <v>284</v>
      </c>
      <c r="B49" s="7">
        <v>81.2</v>
      </c>
      <c r="C49" s="6" t="s">
        <v>285</v>
      </c>
      <c r="D49" s="13" t="s">
        <v>286</v>
      </c>
      <c r="F49" s="246" t="s">
        <v>182</v>
      </c>
      <c r="G49" s="247"/>
      <c r="H49" s="247"/>
      <c r="I49" s="247"/>
      <c r="J49" s="181">
        <v>18</v>
      </c>
    </row>
    <row r="50" spans="1:10" x14ac:dyDescent="0.25">
      <c r="A50" s="15" t="s">
        <v>292</v>
      </c>
      <c r="B50" s="7">
        <f>2*B3*TAN(RADIANS(B49/2))</f>
        <v>137.13658577198379</v>
      </c>
      <c r="C50" s="6" t="s">
        <v>33</v>
      </c>
      <c r="D50" s="13"/>
      <c r="F50" s="236" t="s">
        <v>177</v>
      </c>
      <c r="G50" s="237"/>
      <c r="H50" s="237"/>
      <c r="I50" s="237"/>
      <c r="J50" s="182">
        <v>10</v>
      </c>
    </row>
    <row r="51" spans="1:10" x14ac:dyDescent="0.25">
      <c r="A51" s="15" t="s">
        <v>289</v>
      </c>
      <c r="B51" s="211">
        <f>1-(B10/B50)</f>
        <v>0.40017864198461572</v>
      </c>
      <c r="C51" s="6" t="s">
        <v>137</v>
      </c>
      <c r="D51" s="13" t="s">
        <v>293</v>
      </c>
      <c r="F51" s="236" t="s">
        <v>183</v>
      </c>
      <c r="G51" s="237"/>
      <c r="H51" s="237"/>
      <c r="I51" s="237"/>
      <c r="J51" s="182">
        <v>15</v>
      </c>
    </row>
    <row r="52" spans="1:10" x14ac:dyDescent="0.25">
      <c r="A52" s="15" t="s">
        <v>290</v>
      </c>
      <c r="B52" s="211">
        <v>0.8</v>
      </c>
      <c r="C52" s="6" t="s">
        <v>137</v>
      </c>
      <c r="D52" s="13" t="s">
        <v>288</v>
      </c>
      <c r="F52" s="236" t="s">
        <v>184</v>
      </c>
      <c r="G52" s="237"/>
      <c r="H52" s="237"/>
      <c r="I52" s="237"/>
      <c r="J52" s="182">
        <v>10</v>
      </c>
    </row>
    <row r="53" spans="1:10" x14ac:dyDescent="0.25">
      <c r="F53" s="236" t="s">
        <v>185</v>
      </c>
      <c r="G53" s="237"/>
      <c r="H53" s="237"/>
      <c r="I53" s="237"/>
      <c r="J53" s="182">
        <v>10</v>
      </c>
    </row>
    <row r="54" spans="1:10" x14ac:dyDescent="0.25">
      <c r="F54" s="236" t="s">
        <v>186</v>
      </c>
      <c r="G54" s="237"/>
      <c r="H54" s="237"/>
      <c r="I54" s="237"/>
      <c r="J54" s="182">
        <v>15</v>
      </c>
    </row>
    <row r="55" spans="1:10" x14ac:dyDescent="0.25">
      <c r="F55" s="238" t="s">
        <v>176</v>
      </c>
      <c r="G55" s="239"/>
      <c r="H55" s="239"/>
      <c r="I55" s="239"/>
      <c r="J55" s="183">
        <f>B10/B4</f>
        <v>16.45149062226891</v>
      </c>
    </row>
    <row r="56" spans="1:10" x14ac:dyDescent="0.25">
      <c r="F56" s="238" t="s">
        <v>178</v>
      </c>
      <c r="G56" s="239"/>
      <c r="H56" s="239"/>
      <c r="I56" s="239"/>
      <c r="J56" s="183">
        <f>J55*(J50-1)</f>
        <v>148.0634156004202</v>
      </c>
    </row>
    <row r="57" spans="1:10" x14ac:dyDescent="0.25">
      <c r="F57" s="238" t="s">
        <v>179</v>
      </c>
      <c r="G57" s="239"/>
      <c r="H57" s="239"/>
      <c r="I57" s="239"/>
      <c r="J57" s="183">
        <f>J51+J52+J53+J54+J56</f>
        <v>198.0634156004202</v>
      </c>
    </row>
    <row r="58" spans="1:10" x14ac:dyDescent="0.25">
      <c r="F58" s="238" t="s">
        <v>180</v>
      </c>
      <c r="G58" s="239"/>
      <c r="H58" s="239"/>
      <c r="I58" s="239"/>
      <c r="J58" s="184">
        <f>J57/(J49*60)</f>
        <v>0.18339205148187054</v>
      </c>
    </row>
    <row r="59" spans="1:10" ht="15.75" thickBot="1" x14ac:dyDescent="0.3">
      <c r="F59" s="234" t="s">
        <v>181</v>
      </c>
      <c r="G59" s="235"/>
      <c r="H59" s="235"/>
      <c r="I59" s="235"/>
      <c r="J59" s="185">
        <f>1-J58</f>
        <v>0.81660794851812946</v>
      </c>
    </row>
  </sheetData>
  <mergeCells count="37">
    <mergeCell ref="F25:H25"/>
    <mergeCell ref="X25:Y25"/>
    <mergeCell ref="A1:D1"/>
    <mergeCell ref="F9:J9"/>
    <mergeCell ref="F13:J13"/>
    <mergeCell ref="W17:Y17"/>
    <mergeCell ref="F18:J18"/>
    <mergeCell ref="F20:G20"/>
    <mergeCell ref="F21:G21"/>
    <mergeCell ref="X21:Y21"/>
    <mergeCell ref="F22:G22"/>
    <mergeCell ref="X22:Y22"/>
    <mergeCell ref="X24:Y24"/>
    <mergeCell ref="K36:L36"/>
    <mergeCell ref="G26:H26"/>
    <mergeCell ref="G27:H27"/>
    <mergeCell ref="G28:H28"/>
    <mergeCell ref="G29:H29"/>
    <mergeCell ref="G30:H30"/>
    <mergeCell ref="AB30:AC30"/>
    <mergeCell ref="G31:H31"/>
    <mergeCell ref="G32:H32"/>
    <mergeCell ref="F34:J34"/>
    <mergeCell ref="K34:L34"/>
    <mergeCell ref="W30:AA30"/>
    <mergeCell ref="F59:I59"/>
    <mergeCell ref="F48:J48"/>
    <mergeCell ref="F49:I49"/>
    <mergeCell ref="F50:I50"/>
    <mergeCell ref="F51:I51"/>
    <mergeCell ref="F52:I52"/>
    <mergeCell ref="F53:I53"/>
    <mergeCell ref="F54:I54"/>
    <mergeCell ref="F55:I55"/>
    <mergeCell ref="F56:I56"/>
    <mergeCell ref="F57:I57"/>
    <mergeCell ref="F58:I58"/>
  </mergeCells>
  <pageMargins left="0.7" right="0.7" top="0.75" bottom="0.75" header="0.3" footer="0.3"/>
  <pageSetup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520F7E-E919-4DA4-A268-FD6B7C8AB4D3}">
  <sheetPr>
    <tabColor theme="8"/>
  </sheetPr>
  <dimension ref="A1:AC60"/>
  <sheetViews>
    <sheetView zoomScaleNormal="100" workbookViewId="0">
      <selection activeCell="D13" sqref="D13"/>
    </sheetView>
  </sheetViews>
  <sheetFormatPr defaultRowHeight="15" x14ac:dyDescent="0.25"/>
  <cols>
    <col min="1" max="1" width="55.85546875" bestFit="1" customWidth="1"/>
    <col min="2" max="2" width="9.140625" style="1"/>
    <col min="3" max="3" width="10" style="1" bestFit="1" customWidth="1"/>
    <col min="4" max="4" width="77.5703125" bestFit="1" customWidth="1"/>
    <col min="6" max="6" width="11.42578125" customWidth="1"/>
    <col min="7" max="7" width="13.7109375" customWidth="1"/>
  </cols>
  <sheetData>
    <row r="1" spans="1:14" ht="19.5" thickBot="1" x14ac:dyDescent="0.35">
      <c r="A1" s="264" t="s">
        <v>281</v>
      </c>
      <c r="B1" s="265"/>
      <c r="C1" s="265"/>
      <c r="D1" s="266"/>
    </row>
    <row r="2" spans="1:14" ht="15.75" thickBot="1" x14ac:dyDescent="0.3">
      <c r="A2" s="79" t="s">
        <v>94</v>
      </c>
      <c r="B2" s="64" t="s">
        <v>0</v>
      </c>
      <c r="C2" s="80" t="s">
        <v>29</v>
      </c>
      <c r="D2" s="81" t="s">
        <v>1</v>
      </c>
      <c r="L2" s="34" t="s">
        <v>61</v>
      </c>
      <c r="M2" s="35" t="s">
        <v>195</v>
      </c>
      <c r="N2" s="36">
        <v>44396</v>
      </c>
    </row>
    <row r="3" spans="1:14" x14ac:dyDescent="0.25">
      <c r="A3" s="65" t="s">
        <v>134</v>
      </c>
      <c r="B3" s="66">
        <v>80</v>
      </c>
      <c r="C3" s="67" t="s">
        <v>33</v>
      </c>
      <c r="D3" s="68" t="s">
        <v>278</v>
      </c>
    </row>
    <row r="4" spans="1:14" x14ac:dyDescent="0.25">
      <c r="A4" s="12" t="s">
        <v>135</v>
      </c>
      <c r="B4" s="58">
        <v>5</v>
      </c>
      <c r="C4" s="2" t="s">
        <v>32</v>
      </c>
      <c r="D4" s="13" t="s">
        <v>51</v>
      </c>
    </row>
    <row r="5" spans="1:14" x14ac:dyDescent="0.25">
      <c r="A5" s="12" t="s">
        <v>145</v>
      </c>
      <c r="B5" s="58">
        <v>90</v>
      </c>
      <c r="C5" s="2" t="s">
        <v>34</v>
      </c>
      <c r="D5" s="13" t="s">
        <v>52</v>
      </c>
    </row>
    <row r="6" spans="1:14" x14ac:dyDescent="0.25">
      <c r="A6" s="12" t="s">
        <v>139</v>
      </c>
      <c r="B6" s="99">
        <v>0.3</v>
      </c>
      <c r="C6" s="2" t="s">
        <v>137</v>
      </c>
      <c r="D6" s="13" t="s">
        <v>138</v>
      </c>
    </row>
    <row r="7" spans="1:14" ht="15.75" customHeight="1" x14ac:dyDescent="0.25">
      <c r="A7" s="12" t="s">
        <v>120</v>
      </c>
      <c r="B7" s="58">
        <v>300</v>
      </c>
      <c r="C7" s="2" t="s">
        <v>30</v>
      </c>
      <c r="D7" s="13" t="s">
        <v>274</v>
      </c>
    </row>
    <row r="8" spans="1:14" x14ac:dyDescent="0.25">
      <c r="A8" s="12" t="s">
        <v>99</v>
      </c>
      <c r="B8" s="58">
        <v>100</v>
      </c>
      <c r="C8" s="2" t="s">
        <v>31</v>
      </c>
      <c r="D8" s="13" t="s">
        <v>102</v>
      </c>
    </row>
    <row r="9" spans="1:14" x14ac:dyDescent="0.25">
      <c r="A9" s="14" t="s">
        <v>117</v>
      </c>
      <c r="B9" s="86">
        <f>(B20*1000*SQRT((B4*360*180)/(B20*1000*B3*PI())))/360</f>
        <v>54.62742152960395</v>
      </c>
      <c r="C9" s="3" t="s">
        <v>31</v>
      </c>
      <c r="D9" s="93" t="s">
        <v>119</v>
      </c>
    </row>
    <row r="10" spans="1:14" ht="15.75" thickBot="1" x14ac:dyDescent="0.3">
      <c r="A10" s="14" t="s">
        <v>100</v>
      </c>
      <c r="B10" s="87">
        <f>(B8*360)/(B20*1000)</f>
        <v>0.12</v>
      </c>
      <c r="C10" s="3" t="s">
        <v>101</v>
      </c>
      <c r="D10" s="13" t="s">
        <v>118</v>
      </c>
    </row>
    <row r="11" spans="1:14" ht="15.75" thickBot="1" x14ac:dyDescent="0.3">
      <c r="A11" s="14" t="s">
        <v>140</v>
      </c>
      <c r="B11" s="101">
        <f>2*$B$26*TAN(($B$28/2)*PI()/180)</f>
        <v>159.99999999999997</v>
      </c>
      <c r="C11" s="3" t="s">
        <v>33</v>
      </c>
      <c r="D11" s="13"/>
      <c r="F11" s="260" t="s">
        <v>103</v>
      </c>
      <c r="G11" s="255"/>
      <c r="H11" s="255"/>
      <c r="I11" s="255"/>
      <c r="J11" s="256"/>
    </row>
    <row r="12" spans="1:14" x14ac:dyDescent="0.25">
      <c r="A12" s="14" t="s">
        <v>144</v>
      </c>
      <c r="B12" s="101">
        <f>B11*(1-B6)</f>
        <v>111.99999999999997</v>
      </c>
      <c r="C12" s="3" t="s">
        <v>33</v>
      </c>
      <c r="D12" s="13"/>
      <c r="F12" s="40" t="s">
        <v>104</v>
      </c>
      <c r="G12" s="58">
        <v>200</v>
      </c>
      <c r="H12" t="s">
        <v>30</v>
      </c>
      <c r="J12" s="88"/>
    </row>
    <row r="13" spans="1:14" ht="17.25" x14ac:dyDescent="0.25">
      <c r="A13" s="14" t="s">
        <v>142</v>
      </c>
      <c r="B13" s="4">
        <f>$B$33</f>
        <v>93.750000000000014</v>
      </c>
      <c r="C13" s="3" t="s">
        <v>60</v>
      </c>
      <c r="D13" s="13" t="s">
        <v>8</v>
      </c>
      <c r="F13" s="40" t="s">
        <v>106</v>
      </c>
      <c r="G13" s="58">
        <v>60</v>
      </c>
      <c r="H13" t="s">
        <v>33</v>
      </c>
      <c r="J13" s="88"/>
    </row>
    <row r="14" spans="1:14" ht="18" thickBot="1" x14ac:dyDescent="0.3">
      <c r="A14" s="14" t="s">
        <v>143</v>
      </c>
      <c r="B14" s="4">
        <f>B13*2</f>
        <v>187.50000000000003</v>
      </c>
      <c r="C14" s="3" t="s">
        <v>60</v>
      </c>
      <c r="D14" s="13" t="s">
        <v>8</v>
      </c>
      <c r="F14" s="40" t="s">
        <v>105</v>
      </c>
      <c r="G14" s="58">
        <v>5</v>
      </c>
      <c r="H14" t="s">
        <v>32</v>
      </c>
      <c r="J14" s="88"/>
    </row>
    <row r="15" spans="1:14" ht="15.75" thickBot="1" x14ac:dyDescent="0.3">
      <c r="A15" s="14" t="s">
        <v>48</v>
      </c>
      <c r="B15" s="4">
        <f>$B$34</f>
        <v>16.755185317975062</v>
      </c>
      <c r="C15" s="3" t="s">
        <v>58</v>
      </c>
      <c r="D15" s="13" t="s">
        <v>116</v>
      </c>
      <c r="F15" s="260" t="s">
        <v>110</v>
      </c>
      <c r="G15" s="255"/>
      <c r="H15" s="255"/>
      <c r="I15" s="255"/>
      <c r="J15" s="256"/>
    </row>
    <row r="16" spans="1:14" x14ac:dyDescent="0.25">
      <c r="A16" s="14" t="s">
        <v>49</v>
      </c>
      <c r="B16" s="4">
        <f>$B$35</f>
        <v>5</v>
      </c>
      <c r="C16" s="3" t="s">
        <v>58</v>
      </c>
      <c r="D16" s="13" t="s">
        <v>116</v>
      </c>
      <c r="F16" s="40" t="s">
        <v>109</v>
      </c>
      <c r="I16" s="89">
        <f>SQRT((G14*360*180)/(G12*1000*G13*PI()))</f>
        <v>9.2705808485565505E-2</v>
      </c>
      <c r="J16" s="90" t="s">
        <v>34</v>
      </c>
    </row>
    <row r="17" spans="1:29" ht="14.25" customHeight="1" x14ac:dyDescent="0.25">
      <c r="A17" s="14" t="s">
        <v>85</v>
      </c>
      <c r="B17" s="4">
        <f>B36</f>
        <v>12.800002730667368</v>
      </c>
      <c r="C17" s="3" t="s">
        <v>58</v>
      </c>
      <c r="D17" s="13" t="s">
        <v>87</v>
      </c>
      <c r="F17" s="40" t="s">
        <v>111</v>
      </c>
      <c r="I17" s="91">
        <f>(G12*1000*I16)/360</f>
        <v>51.503226936425278</v>
      </c>
      <c r="J17" s="90" t="s">
        <v>31</v>
      </c>
    </row>
    <row r="18" spans="1:29" ht="16.5" customHeight="1" thickBot="1" x14ac:dyDescent="0.3">
      <c r="A18" s="22" t="s">
        <v>86</v>
      </c>
      <c r="B18" s="77">
        <f>B37</f>
        <v>4.0000000833333358</v>
      </c>
      <c r="C18" s="78" t="s">
        <v>58</v>
      </c>
      <c r="D18" s="70" t="s">
        <v>87</v>
      </c>
      <c r="F18" s="40" t="s">
        <v>114</v>
      </c>
      <c r="I18" s="41">
        <f>(I16*PI()*G13)/180*100</f>
        <v>9.7081295627784954</v>
      </c>
      <c r="J18" s="90" t="s">
        <v>58</v>
      </c>
    </row>
    <row r="19" spans="1:29" ht="15" customHeight="1" thickBot="1" x14ac:dyDescent="0.3">
      <c r="A19" s="29" t="s">
        <v>92</v>
      </c>
      <c r="B19" s="30" t="s">
        <v>0</v>
      </c>
      <c r="C19" s="30" t="s">
        <v>29</v>
      </c>
      <c r="D19" s="31" t="s">
        <v>1</v>
      </c>
      <c r="F19" s="40" t="s">
        <v>115</v>
      </c>
      <c r="I19" s="41">
        <f>G14/I17*100</f>
        <v>9.7081295627784954</v>
      </c>
      <c r="J19" s="90" t="s">
        <v>58</v>
      </c>
      <c r="W19" s="260" t="s">
        <v>98</v>
      </c>
      <c r="X19" s="255"/>
      <c r="Y19" s="256"/>
    </row>
    <row r="20" spans="1:29" ht="15.75" customHeight="1" thickBot="1" x14ac:dyDescent="0.3">
      <c r="A20" s="24" t="s">
        <v>35</v>
      </c>
      <c r="B20" s="9">
        <f>B7</f>
        <v>300</v>
      </c>
      <c r="C20" s="6" t="s">
        <v>30</v>
      </c>
      <c r="D20" s="16" t="s">
        <v>89</v>
      </c>
      <c r="F20" s="260" t="s">
        <v>112</v>
      </c>
      <c r="G20" s="255"/>
      <c r="H20" s="255"/>
      <c r="I20" s="255"/>
      <c r="J20" s="256"/>
      <c r="W20" s="39">
        <f>$B$32</f>
        <v>799.99999999999989</v>
      </c>
      <c r="X20" s="83" t="s">
        <v>68</v>
      </c>
      <c r="Y20" s="84"/>
    </row>
    <row r="21" spans="1:29" ht="17.25" x14ac:dyDescent="0.25">
      <c r="A21" s="24" t="s">
        <v>37</v>
      </c>
      <c r="B21" s="6">
        <f>B8</f>
        <v>100</v>
      </c>
      <c r="C21" s="6" t="s">
        <v>31</v>
      </c>
      <c r="D21" s="13" t="s">
        <v>97</v>
      </c>
      <c r="F21" s="40" t="s">
        <v>113</v>
      </c>
      <c r="I21" s="58">
        <v>3.5999999999999997E-2</v>
      </c>
      <c r="J21" s="90" t="s">
        <v>34</v>
      </c>
      <c r="W21" s="39">
        <f>W20*60</f>
        <v>47999.999999999993</v>
      </c>
      <c r="X21" s="38" t="s">
        <v>62</v>
      </c>
      <c r="Y21" s="85"/>
    </row>
    <row r="22" spans="1:29" ht="17.25" x14ac:dyDescent="0.25">
      <c r="A22" s="24" t="s">
        <v>83</v>
      </c>
      <c r="B22" s="6">
        <v>1.6</v>
      </c>
      <c r="C22" s="6" t="s">
        <v>77</v>
      </c>
      <c r="D22" s="13" t="s">
        <v>80</v>
      </c>
      <c r="F22" s="267" t="s">
        <v>37</v>
      </c>
      <c r="G22" s="268"/>
      <c r="I22">
        <f>(G12*1000*I21)/360</f>
        <v>19.999999999999996</v>
      </c>
      <c r="J22" s="90" t="s">
        <v>31</v>
      </c>
      <c r="W22" s="59">
        <f>W21/1000000</f>
        <v>4.7999999999999994E-2</v>
      </c>
      <c r="X22" s="38" t="s">
        <v>63</v>
      </c>
      <c r="Y22" s="85"/>
    </row>
    <row r="23" spans="1:29" ht="17.25" x14ac:dyDescent="0.25">
      <c r="A23" s="24" t="s">
        <v>84</v>
      </c>
      <c r="B23" s="6">
        <v>0.5</v>
      </c>
      <c r="C23" s="6" t="s">
        <v>77</v>
      </c>
      <c r="D23" s="13" t="s">
        <v>80</v>
      </c>
      <c r="F23" s="267" t="s">
        <v>107</v>
      </c>
      <c r="G23" s="268"/>
      <c r="I23" s="41">
        <f>((I21*PI()*G13)/180)*100</f>
        <v>3.7699111843077513</v>
      </c>
      <c r="J23" s="90" t="s">
        <v>58</v>
      </c>
      <c r="W23" s="37">
        <f>W22*60</f>
        <v>2.8799999999999994</v>
      </c>
      <c r="X23" s="248" t="s">
        <v>64</v>
      </c>
      <c r="Y23" s="249"/>
    </row>
    <row r="24" spans="1:29" ht="18" thickBot="1" x14ac:dyDescent="0.3">
      <c r="A24" s="25" t="s">
        <v>10</v>
      </c>
      <c r="B24" s="26">
        <v>1</v>
      </c>
      <c r="C24" s="28" t="s">
        <v>47</v>
      </c>
      <c r="D24" s="27" t="s">
        <v>96</v>
      </c>
      <c r="F24" s="269" t="s">
        <v>108</v>
      </c>
      <c r="G24" s="270"/>
      <c r="H24" s="43"/>
      <c r="I24" s="44">
        <f>(G14/I22)*100</f>
        <v>25.000000000000007</v>
      </c>
      <c r="J24" s="92" t="s">
        <v>58</v>
      </c>
      <c r="W24" s="37">
        <f>W23*0.386102</f>
        <v>1.1119737599999997</v>
      </c>
      <c r="X24" s="248" t="s">
        <v>65</v>
      </c>
      <c r="Y24" s="249"/>
    </row>
    <row r="25" spans="1:29" ht="15.75" thickBot="1" x14ac:dyDescent="0.3">
      <c r="A25" s="29" t="s">
        <v>93</v>
      </c>
      <c r="B25" s="30" t="s">
        <v>0</v>
      </c>
      <c r="C25" s="30" t="s">
        <v>29</v>
      </c>
      <c r="D25" s="31" t="s">
        <v>1</v>
      </c>
      <c r="W25" s="39">
        <f>W23*247.105</f>
        <v>711.66239999999982</v>
      </c>
      <c r="X25" s="248" t="s">
        <v>66</v>
      </c>
      <c r="Y25" s="249"/>
    </row>
    <row r="26" spans="1:29" ht="15.75" thickBot="1" x14ac:dyDescent="0.3">
      <c r="A26" s="71" t="s">
        <v>38</v>
      </c>
      <c r="B26" s="72">
        <f>$B$3</f>
        <v>80</v>
      </c>
      <c r="C26" s="73" t="s">
        <v>33</v>
      </c>
      <c r="D26" s="16" t="s">
        <v>97</v>
      </c>
      <c r="F26" s="260" t="s">
        <v>98</v>
      </c>
      <c r="G26" s="255"/>
      <c r="H26" s="256"/>
      <c r="W26" s="82">
        <f>W23*100</f>
        <v>287.99999999999994</v>
      </c>
      <c r="X26" s="250" t="s">
        <v>67</v>
      </c>
      <c r="Y26" s="251"/>
    </row>
    <row r="27" spans="1:29" ht="17.25" x14ac:dyDescent="0.25">
      <c r="A27" s="15" t="s">
        <v>3</v>
      </c>
      <c r="B27" s="5">
        <f>$B$4</f>
        <v>5</v>
      </c>
      <c r="C27" s="6" t="s">
        <v>32</v>
      </c>
      <c r="D27" s="16" t="s">
        <v>97</v>
      </c>
      <c r="F27" s="39">
        <f>$B$32</f>
        <v>799.99999999999989</v>
      </c>
      <c r="G27" s="261" t="s">
        <v>68</v>
      </c>
      <c r="H27" s="262"/>
    </row>
    <row r="28" spans="1:29" ht="17.25" x14ac:dyDescent="0.25">
      <c r="A28" s="15" t="s">
        <v>36</v>
      </c>
      <c r="B28" s="5">
        <f>$B$5</f>
        <v>90</v>
      </c>
      <c r="C28" s="6" t="s">
        <v>34</v>
      </c>
      <c r="D28" s="16" t="s">
        <v>97</v>
      </c>
      <c r="F28" s="39">
        <f>F27*60</f>
        <v>47999.999999999993</v>
      </c>
      <c r="G28" s="248" t="s">
        <v>62</v>
      </c>
      <c r="H28" s="249"/>
    </row>
    <row r="29" spans="1:29" ht="17.25" x14ac:dyDescent="0.25">
      <c r="A29" s="15" t="s">
        <v>39</v>
      </c>
      <c r="B29" s="7">
        <f>$B$28/360*$B$20</f>
        <v>75</v>
      </c>
      <c r="C29" s="6" t="s">
        <v>30</v>
      </c>
      <c r="D29" s="13" t="s">
        <v>6</v>
      </c>
      <c r="F29" s="59">
        <f>F28/1000000</f>
        <v>4.7999999999999994E-2</v>
      </c>
      <c r="G29" s="248" t="s">
        <v>63</v>
      </c>
      <c r="H29" s="249"/>
    </row>
    <row r="30" spans="1:29" ht="18" thickBot="1" x14ac:dyDescent="0.3">
      <c r="A30" s="15" t="s">
        <v>40</v>
      </c>
      <c r="B30" s="7">
        <f>2*$B$26*TAN(($B$28/2)*PI()/180)</f>
        <v>159.99999999999997</v>
      </c>
      <c r="C30" s="6" t="s">
        <v>33</v>
      </c>
      <c r="D30" s="13" t="s">
        <v>7</v>
      </c>
      <c r="F30" s="37">
        <f>F29*60</f>
        <v>2.8799999999999994</v>
      </c>
      <c r="G30" s="248" t="s">
        <v>64</v>
      </c>
      <c r="H30" s="249"/>
    </row>
    <row r="31" spans="1:29" ht="18" thickBot="1" x14ac:dyDescent="0.3">
      <c r="A31" s="15" t="s">
        <v>41</v>
      </c>
      <c r="B31" s="5">
        <f>$B$27</f>
        <v>5</v>
      </c>
      <c r="C31" s="6" t="s">
        <v>33</v>
      </c>
      <c r="D31" s="13" t="s">
        <v>3</v>
      </c>
      <c r="F31" s="37">
        <f>F30*0.386102</f>
        <v>1.1119737599999997</v>
      </c>
      <c r="G31" s="248" t="s">
        <v>65</v>
      </c>
      <c r="H31" s="249"/>
      <c r="W31" s="260" t="s">
        <v>72</v>
      </c>
      <c r="X31" s="255"/>
      <c r="Y31" s="255"/>
      <c r="Z31" s="255"/>
      <c r="AA31" s="256"/>
      <c r="AB31" s="260" t="s">
        <v>75</v>
      </c>
      <c r="AC31" s="256"/>
    </row>
    <row r="32" spans="1:29" ht="18" thickBot="1" x14ac:dyDescent="0.3">
      <c r="A32" s="15" t="s">
        <v>42</v>
      </c>
      <c r="B32" s="7">
        <f>$B$30*$B$31</f>
        <v>799.99999999999989</v>
      </c>
      <c r="C32" s="6" t="s">
        <v>53</v>
      </c>
      <c r="D32" s="13" t="s">
        <v>2</v>
      </c>
      <c r="F32" s="39">
        <f>F30*247.105</f>
        <v>711.66239999999982</v>
      </c>
      <c r="G32" s="248" t="s">
        <v>66</v>
      </c>
      <c r="H32" s="249"/>
      <c r="W32" s="47" t="s">
        <v>69</v>
      </c>
      <c r="X32" s="48" t="s">
        <v>70</v>
      </c>
      <c r="Y32" s="48" t="s">
        <v>71</v>
      </c>
      <c r="Z32" s="48" t="s">
        <v>73</v>
      </c>
      <c r="AA32" s="49" t="s">
        <v>74</v>
      </c>
      <c r="AB32" s="47" t="s">
        <v>76</v>
      </c>
      <c r="AC32" s="54">
        <f>B6</f>
        <v>0.3</v>
      </c>
    </row>
    <row r="33" spans="1:27" ht="15.75" customHeight="1" thickBot="1" x14ac:dyDescent="0.3">
      <c r="A33" s="15" t="s">
        <v>43</v>
      </c>
      <c r="B33" s="7">
        <f>$B$29*1000/$B$32</f>
        <v>93.750000000000014</v>
      </c>
      <c r="C33" s="6" t="s">
        <v>54</v>
      </c>
      <c r="D33" s="13" t="s">
        <v>4</v>
      </c>
      <c r="F33" s="82">
        <f>F30*100</f>
        <v>287.99999999999994</v>
      </c>
      <c r="G33" s="250" t="s">
        <v>67</v>
      </c>
      <c r="H33" s="251"/>
      <c r="W33" s="51">
        <v>5</v>
      </c>
      <c r="X33" s="52">
        <f t="shared" ref="X33:X41" si="0">$W$25/60*W33*(1-$AC$32)</f>
        <v>41.513639999999988</v>
      </c>
      <c r="Y33" s="52">
        <f t="shared" ref="Y33:Y41" si="1">$W$26/60*W33*(1-$AC$32)</f>
        <v>16.799999999999994</v>
      </c>
      <c r="Z33" s="52">
        <f t="shared" ref="Z33:Z41" si="2">$W$23/60*W33*(1-$AC$32)</f>
        <v>0.16799999999999995</v>
      </c>
      <c r="AA33" s="53">
        <f t="shared" ref="AA33:AA41" si="3">$W$24/60*W33*(1-$AC$32)</f>
        <v>6.4865135999999976E-2</v>
      </c>
    </row>
    <row r="34" spans="1:27" ht="14.25" customHeight="1" thickBot="1" x14ac:dyDescent="0.3">
      <c r="A34" s="60" t="s">
        <v>44</v>
      </c>
      <c r="B34" s="61">
        <f>$B$43</f>
        <v>16.755185317975062</v>
      </c>
      <c r="C34" s="62" t="s">
        <v>58</v>
      </c>
      <c r="D34" s="63" t="s">
        <v>23</v>
      </c>
      <c r="W34" s="46">
        <v>15</v>
      </c>
      <c r="X34" s="41">
        <f t="shared" si="0"/>
        <v>124.54091999999996</v>
      </c>
      <c r="Y34" s="41">
        <f t="shared" si="1"/>
        <v>50.399999999999984</v>
      </c>
      <c r="Z34" s="41">
        <f t="shared" si="2"/>
        <v>0.50399999999999989</v>
      </c>
      <c r="AA34" s="42">
        <f t="shared" si="3"/>
        <v>0.19459540799999994</v>
      </c>
    </row>
    <row r="35" spans="1:27" ht="15" customHeight="1" thickBot="1" x14ac:dyDescent="0.3">
      <c r="A35" s="15" t="s">
        <v>45</v>
      </c>
      <c r="B35" s="7">
        <f>$B$45</f>
        <v>5</v>
      </c>
      <c r="C35" s="6" t="s">
        <v>58</v>
      </c>
      <c r="D35" s="13" t="s">
        <v>24</v>
      </c>
      <c r="F35" s="252" t="s">
        <v>72</v>
      </c>
      <c r="G35" s="253"/>
      <c r="H35" s="253"/>
      <c r="I35" s="253"/>
      <c r="J35" s="254"/>
      <c r="K35" s="255" t="s">
        <v>75</v>
      </c>
      <c r="L35" s="256"/>
      <c r="M35" s="160" t="s">
        <v>189</v>
      </c>
      <c r="W35" s="46">
        <v>20</v>
      </c>
      <c r="X35" s="41">
        <f t="shared" si="0"/>
        <v>166.05455999999995</v>
      </c>
      <c r="Y35" s="41">
        <f t="shared" si="1"/>
        <v>67.199999999999974</v>
      </c>
      <c r="Z35" s="41">
        <f t="shared" si="2"/>
        <v>0.67199999999999982</v>
      </c>
      <c r="AA35" s="42">
        <f t="shared" si="3"/>
        <v>0.2594605439999999</v>
      </c>
    </row>
    <row r="36" spans="1:27" ht="14.25" customHeight="1" thickBot="1" x14ac:dyDescent="0.3">
      <c r="A36" s="15" t="s">
        <v>78</v>
      </c>
      <c r="B36" s="7">
        <f>2*($B$3*TAN((B22/2)/1000))*100</f>
        <v>12.800002730667368</v>
      </c>
      <c r="C36" s="6" t="s">
        <v>58</v>
      </c>
      <c r="D36" s="13" t="s">
        <v>81</v>
      </c>
      <c r="F36" s="166" t="s">
        <v>69</v>
      </c>
      <c r="G36" s="69" t="s">
        <v>70</v>
      </c>
      <c r="H36" s="69" t="s">
        <v>71</v>
      </c>
      <c r="I36" s="69" t="s">
        <v>73</v>
      </c>
      <c r="J36" s="172" t="s">
        <v>74</v>
      </c>
      <c r="K36" s="162" t="s">
        <v>76</v>
      </c>
      <c r="L36" s="163">
        <f>B6*M36</f>
        <v>0.3</v>
      </c>
      <c r="M36">
        <v>1</v>
      </c>
      <c r="W36" s="46">
        <v>25</v>
      </c>
      <c r="X36" s="41">
        <f t="shared" si="0"/>
        <v>207.56819999999996</v>
      </c>
      <c r="Y36" s="41">
        <f t="shared" si="1"/>
        <v>83.999999999999972</v>
      </c>
      <c r="Z36" s="41">
        <f t="shared" si="2"/>
        <v>0.84</v>
      </c>
      <c r="AA36" s="42">
        <f t="shared" si="3"/>
        <v>0.32432567999999989</v>
      </c>
    </row>
    <row r="37" spans="1:27" ht="14.25" customHeight="1" thickBot="1" x14ac:dyDescent="0.3">
      <c r="A37" s="23" t="s">
        <v>79</v>
      </c>
      <c r="B37" s="7">
        <f>2*($B$3*TAN((B23/2)/1000))*100</f>
        <v>4.0000000833333358</v>
      </c>
      <c r="C37" s="69" t="s">
        <v>58</v>
      </c>
      <c r="D37" s="21" t="s">
        <v>82</v>
      </c>
      <c r="F37" s="178">
        <f>J50</f>
        <v>18</v>
      </c>
      <c r="G37" s="179">
        <f>$F$32/60*F37*(1-$L$36)*(1-$L$38)</f>
        <v>114.63299791999999</v>
      </c>
      <c r="H37" s="179">
        <f>$F$33/60*F37*(1-$L$36)*(1-$L$38)</f>
        <v>46.390399999999985</v>
      </c>
      <c r="I37" s="179">
        <f>$F$30/60*F37*(1-$L$36)*(1-$L$38)</f>
        <v>0.46390399999999993</v>
      </c>
      <c r="J37" s="180">
        <f>$F$31/60*F37*(1-$L$36)*(1-$L$38)</f>
        <v>0.17911426220799995</v>
      </c>
      <c r="K37" s="263" t="s">
        <v>187</v>
      </c>
      <c r="L37" s="245"/>
      <c r="M37" s="160" t="s">
        <v>189</v>
      </c>
      <c r="W37" s="46">
        <v>30</v>
      </c>
      <c r="X37" s="41">
        <f t="shared" si="0"/>
        <v>249.08183999999991</v>
      </c>
      <c r="Y37" s="41">
        <f t="shared" si="1"/>
        <v>100.79999999999997</v>
      </c>
      <c r="Z37" s="41">
        <f t="shared" si="2"/>
        <v>1.0079999999999998</v>
      </c>
      <c r="AA37" s="42">
        <f t="shared" si="3"/>
        <v>0.38919081599999988</v>
      </c>
    </row>
    <row r="38" spans="1:27" ht="14.25" customHeight="1" thickBot="1" x14ac:dyDescent="0.3">
      <c r="A38" s="74" t="s">
        <v>20</v>
      </c>
      <c r="B38" s="75"/>
      <c r="C38" s="75"/>
      <c r="D38" s="76"/>
      <c r="F38" s="191">
        <v>5</v>
      </c>
      <c r="G38" s="170">
        <f t="shared" ref="G38:G47" si="4">$F$32/60*F38*(1-$L$36)*(1-$L$38)</f>
        <v>31.842499422222215</v>
      </c>
      <c r="H38" s="170">
        <f t="shared" ref="H38:H47" si="5">$F$33/60*F38*(1-$L$36)*(1-$L$38)</f>
        <v>12.886222222222218</v>
      </c>
      <c r="I38" s="170">
        <f t="shared" ref="I38:I47" si="6">$F$30/60*F38*(1-$L$36)*(1-$L$38)</f>
        <v>0.12886222222222218</v>
      </c>
      <c r="J38" s="171">
        <f t="shared" ref="J38:J47" si="7">$F$31/60*F38*(1-$L$36)*(1-$L$38)</f>
        <v>4.9753961724444427E-2</v>
      </c>
      <c r="K38" s="194" t="s">
        <v>188</v>
      </c>
      <c r="L38" s="177">
        <f>J59*M38</f>
        <v>0.23296296296296293</v>
      </c>
      <c r="M38">
        <v>1</v>
      </c>
      <c r="W38" s="46">
        <v>45</v>
      </c>
      <c r="X38" s="41">
        <f t="shared" si="0"/>
        <v>373.62275999999991</v>
      </c>
      <c r="Y38" s="41">
        <f t="shared" si="1"/>
        <v>151.19999999999996</v>
      </c>
      <c r="Z38" s="41">
        <f t="shared" si="2"/>
        <v>1.5119999999999998</v>
      </c>
      <c r="AA38" s="42">
        <f t="shared" si="3"/>
        <v>0.58378622399999991</v>
      </c>
    </row>
    <row r="39" spans="1:27" ht="15.75" customHeight="1" x14ac:dyDescent="0.25">
      <c r="A39" s="15" t="s">
        <v>11</v>
      </c>
      <c r="B39" s="7">
        <f>$B$20/$B$24</f>
        <v>300</v>
      </c>
      <c r="C39" s="6" t="s">
        <v>30</v>
      </c>
      <c r="D39" s="13" t="s">
        <v>25</v>
      </c>
      <c r="F39" s="192">
        <v>10</v>
      </c>
      <c r="G39" s="161">
        <f t="shared" si="4"/>
        <v>63.684998844444429</v>
      </c>
      <c r="H39" s="161">
        <f t="shared" si="5"/>
        <v>25.772444444444435</v>
      </c>
      <c r="I39" s="161">
        <f t="shared" si="6"/>
        <v>0.25772444444444437</v>
      </c>
      <c r="J39" s="165">
        <f t="shared" si="7"/>
        <v>9.9507923448888855E-2</v>
      </c>
      <c r="W39" s="55">
        <v>60</v>
      </c>
      <c r="X39" s="56">
        <f t="shared" si="0"/>
        <v>498.16367999999983</v>
      </c>
      <c r="Y39" s="56">
        <f t="shared" si="1"/>
        <v>201.59999999999994</v>
      </c>
      <c r="Z39" s="56">
        <f t="shared" si="2"/>
        <v>2.0159999999999996</v>
      </c>
      <c r="AA39" s="57">
        <f t="shared" si="3"/>
        <v>0.77838163199999977</v>
      </c>
    </row>
    <row r="40" spans="1:27" x14ac:dyDescent="0.25">
      <c r="A40" s="15" t="s">
        <v>12</v>
      </c>
      <c r="B40" s="7">
        <f>$B$28/360*$B$39</f>
        <v>75</v>
      </c>
      <c r="C40" s="6" t="s">
        <v>30</v>
      </c>
      <c r="D40" s="13" t="s">
        <v>15</v>
      </c>
      <c r="F40" s="192">
        <v>15</v>
      </c>
      <c r="G40" s="161">
        <f t="shared" si="4"/>
        <v>95.52749826666664</v>
      </c>
      <c r="H40" s="161">
        <f t="shared" si="5"/>
        <v>38.658666666666655</v>
      </c>
      <c r="I40" s="161">
        <f t="shared" si="6"/>
        <v>0.38658666666666658</v>
      </c>
      <c r="J40" s="165">
        <f t="shared" si="7"/>
        <v>0.1492618851733333</v>
      </c>
      <c r="W40" s="46">
        <v>75</v>
      </c>
      <c r="X40" s="41">
        <f t="shared" si="0"/>
        <v>622.7045999999998</v>
      </c>
      <c r="Y40" s="41">
        <f t="shared" si="1"/>
        <v>251.99999999999994</v>
      </c>
      <c r="Z40" s="41">
        <f t="shared" si="2"/>
        <v>2.5199999999999996</v>
      </c>
      <c r="AA40" s="42">
        <f t="shared" si="3"/>
        <v>0.97297703999999985</v>
      </c>
    </row>
    <row r="41" spans="1:27" ht="18" thickBot="1" x14ac:dyDescent="0.3">
      <c r="A41" s="15" t="s">
        <v>21</v>
      </c>
      <c r="B41" s="7">
        <f>$B$40*1000/$B$32</f>
        <v>93.750000000000014</v>
      </c>
      <c r="C41" s="8" t="s">
        <v>54</v>
      </c>
      <c r="D41" s="13" t="s">
        <v>22</v>
      </c>
      <c r="F41" s="192">
        <v>20</v>
      </c>
      <c r="G41" s="161">
        <f t="shared" si="4"/>
        <v>127.36999768888886</v>
      </c>
      <c r="H41" s="161">
        <f t="shared" si="5"/>
        <v>51.54488888888887</v>
      </c>
      <c r="I41" s="161">
        <f t="shared" si="6"/>
        <v>0.51544888888888873</v>
      </c>
      <c r="J41" s="165">
        <f t="shared" si="7"/>
        <v>0.19901584689777771</v>
      </c>
      <c r="W41" s="50">
        <v>90</v>
      </c>
      <c r="X41" s="44">
        <f t="shared" si="0"/>
        <v>747.24551999999983</v>
      </c>
      <c r="Y41" s="44">
        <f t="shared" si="1"/>
        <v>302.39999999999992</v>
      </c>
      <c r="Z41" s="44">
        <f t="shared" si="2"/>
        <v>3.0239999999999996</v>
      </c>
      <c r="AA41" s="45">
        <f t="shared" si="3"/>
        <v>1.1675724479999998</v>
      </c>
    </row>
    <row r="42" spans="1:27" x14ac:dyDescent="0.25">
      <c r="A42" s="15" t="s">
        <v>56</v>
      </c>
      <c r="B42" s="32">
        <f>(360*$B$21)/($B$39*1000)</f>
        <v>0.12</v>
      </c>
      <c r="C42" s="8" t="s">
        <v>57</v>
      </c>
      <c r="D42" s="13" t="s">
        <v>55</v>
      </c>
      <c r="F42" s="192">
        <v>25</v>
      </c>
      <c r="G42" s="161">
        <f t="shared" si="4"/>
        <v>159.21249711111108</v>
      </c>
      <c r="H42" s="161">
        <f t="shared" si="5"/>
        <v>64.431111111111093</v>
      </c>
      <c r="I42" s="161">
        <f t="shared" si="6"/>
        <v>0.64431111111111117</v>
      </c>
      <c r="J42" s="165">
        <f t="shared" si="7"/>
        <v>0.24876980862222214</v>
      </c>
    </row>
    <row r="43" spans="1:27" x14ac:dyDescent="0.25">
      <c r="A43" s="15" t="s">
        <v>13</v>
      </c>
      <c r="B43" s="7">
        <f>$B$26*TAN(($B$42)*PI()/180)*100</f>
        <v>16.755185317975062</v>
      </c>
      <c r="C43" s="9" t="s">
        <v>58</v>
      </c>
      <c r="D43" s="33" t="s">
        <v>59</v>
      </c>
      <c r="F43" s="192">
        <v>30</v>
      </c>
      <c r="G43" s="161">
        <f t="shared" si="4"/>
        <v>191.05499653333328</v>
      </c>
      <c r="H43" s="161">
        <f t="shared" si="5"/>
        <v>77.317333333333309</v>
      </c>
      <c r="I43" s="161">
        <f t="shared" si="6"/>
        <v>0.77317333333333316</v>
      </c>
      <c r="J43" s="165">
        <f t="shared" si="7"/>
        <v>0.29852377034666661</v>
      </c>
    </row>
    <row r="44" spans="1:27" ht="15" customHeight="1" thickBot="1" x14ac:dyDescent="0.3">
      <c r="A44" s="15" t="s">
        <v>14</v>
      </c>
      <c r="B44" s="7">
        <f>$B$27/$B$21*100</f>
        <v>5</v>
      </c>
      <c r="C44" s="9" t="s">
        <v>58</v>
      </c>
      <c r="D44" s="13" t="s">
        <v>5</v>
      </c>
      <c r="F44" s="193">
        <v>45</v>
      </c>
      <c r="G44" s="174">
        <f t="shared" si="4"/>
        <v>286.58249479999995</v>
      </c>
      <c r="H44" s="174">
        <f t="shared" si="5"/>
        <v>115.97599999999997</v>
      </c>
      <c r="I44" s="174">
        <f t="shared" si="6"/>
        <v>1.1597599999999999</v>
      </c>
      <c r="J44" s="175">
        <f t="shared" si="7"/>
        <v>0.44778565551999994</v>
      </c>
    </row>
    <row r="45" spans="1:27" ht="15" customHeight="1" thickBot="1" x14ac:dyDescent="0.3">
      <c r="A45" s="15" t="s">
        <v>9</v>
      </c>
      <c r="B45" s="7">
        <f>$B$27/$B$21/$B$24*100</f>
        <v>5</v>
      </c>
      <c r="C45" s="9" t="s">
        <v>58</v>
      </c>
      <c r="D45" s="13" t="s">
        <v>17</v>
      </c>
      <c r="F45" s="178">
        <v>60</v>
      </c>
      <c r="G45" s="179">
        <f t="shared" si="4"/>
        <v>382.10999306666656</v>
      </c>
      <c r="H45" s="179">
        <f t="shared" si="5"/>
        <v>154.63466666666662</v>
      </c>
      <c r="I45" s="179">
        <f t="shared" si="6"/>
        <v>1.5463466666666663</v>
      </c>
      <c r="J45" s="180">
        <f t="shared" si="7"/>
        <v>0.59704754069333321</v>
      </c>
    </row>
    <row r="46" spans="1:27" x14ac:dyDescent="0.25">
      <c r="A46" s="17" t="s">
        <v>16</v>
      </c>
      <c r="B46" s="10">
        <f>2*$B$26*TAN((3.2/2)*PI()/180)</f>
        <v>4.4692046714539995</v>
      </c>
      <c r="C46" s="8" t="s">
        <v>33</v>
      </c>
      <c r="D46" s="13" t="s">
        <v>28</v>
      </c>
      <c r="F46" s="169">
        <v>75</v>
      </c>
      <c r="G46" s="170">
        <f t="shared" si="4"/>
        <v>477.63749133333323</v>
      </c>
      <c r="H46" s="170">
        <f t="shared" si="5"/>
        <v>193.29333333333329</v>
      </c>
      <c r="I46" s="170">
        <f t="shared" si="6"/>
        <v>1.9329333333333332</v>
      </c>
      <c r="J46" s="171">
        <f t="shared" si="7"/>
        <v>0.7463094258666666</v>
      </c>
    </row>
    <row r="47" spans="1:27" ht="15.75" thickBot="1" x14ac:dyDescent="0.3">
      <c r="A47" s="17" t="s">
        <v>18</v>
      </c>
      <c r="B47" s="11">
        <f>$B$46/($B$44/100)</f>
        <v>89.384093429079982</v>
      </c>
      <c r="C47" s="9" t="s">
        <v>47</v>
      </c>
      <c r="D47" s="13" t="s">
        <v>26</v>
      </c>
      <c r="F47" s="166">
        <v>90</v>
      </c>
      <c r="G47" s="167">
        <f t="shared" si="4"/>
        <v>573.1649895999999</v>
      </c>
      <c r="H47" s="167">
        <f t="shared" si="5"/>
        <v>231.95199999999994</v>
      </c>
      <c r="I47" s="167">
        <f t="shared" si="6"/>
        <v>2.3195199999999998</v>
      </c>
      <c r="J47" s="168">
        <f t="shared" si="7"/>
        <v>0.89557131103999987</v>
      </c>
    </row>
    <row r="48" spans="1:27" ht="15.75" thickBot="1" x14ac:dyDescent="0.3">
      <c r="A48" s="18" t="s">
        <v>19</v>
      </c>
      <c r="B48" s="19">
        <f>B47/B21</f>
        <v>0.8938409342907998</v>
      </c>
      <c r="C48" s="20" t="s">
        <v>46</v>
      </c>
      <c r="D48" s="21" t="s">
        <v>27</v>
      </c>
    </row>
    <row r="49" spans="6:10" ht="15.75" thickBot="1" x14ac:dyDescent="0.3">
      <c r="F49" s="243" t="s">
        <v>190</v>
      </c>
      <c r="G49" s="244"/>
      <c r="H49" s="244"/>
      <c r="I49" s="244"/>
      <c r="J49" s="245"/>
    </row>
    <row r="50" spans="6:10" x14ac:dyDescent="0.25">
      <c r="F50" s="246" t="s">
        <v>182</v>
      </c>
      <c r="G50" s="247"/>
      <c r="H50" s="247"/>
      <c r="I50" s="247"/>
      <c r="J50" s="181">
        <v>18</v>
      </c>
    </row>
    <row r="51" spans="6:10" x14ac:dyDescent="0.25">
      <c r="F51" s="236" t="s">
        <v>177</v>
      </c>
      <c r="G51" s="237"/>
      <c r="H51" s="237"/>
      <c r="I51" s="237"/>
      <c r="J51" s="182">
        <v>10</v>
      </c>
    </row>
    <row r="52" spans="6:10" x14ac:dyDescent="0.25">
      <c r="F52" s="236" t="s">
        <v>183</v>
      </c>
      <c r="G52" s="237"/>
      <c r="H52" s="237"/>
      <c r="I52" s="237"/>
      <c r="J52" s="182">
        <v>15</v>
      </c>
    </row>
    <row r="53" spans="6:10" x14ac:dyDescent="0.25">
      <c r="F53" s="236" t="s">
        <v>184</v>
      </c>
      <c r="G53" s="237"/>
      <c r="H53" s="237"/>
      <c r="I53" s="237"/>
      <c r="J53" s="182">
        <v>10</v>
      </c>
    </row>
    <row r="54" spans="6:10" x14ac:dyDescent="0.25">
      <c r="F54" s="236" t="s">
        <v>185</v>
      </c>
      <c r="G54" s="237"/>
      <c r="H54" s="237"/>
      <c r="I54" s="237"/>
      <c r="J54" s="182">
        <v>10</v>
      </c>
    </row>
    <row r="55" spans="6:10" x14ac:dyDescent="0.25">
      <c r="F55" s="236" t="s">
        <v>186</v>
      </c>
      <c r="G55" s="237"/>
      <c r="H55" s="237"/>
      <c r="I55" s="237"/>
      <c r="J55" s="182">
        <v>15</v>
      </c>
    </row>
    <row r="56" spans="6:10" x14ac:dyDescent="0.25">
      <c r="F56" s="238" t="s">
        <v>176</v>
      </c>
      <c r="G56" s="239"/>
      <c r="H56" s="239"/>
      <c r="I56" s="239"/>
      <c r="J56" s="183">
        <f>B12/B4</f>
        <v>22.399999999999995</v>
      </c>
    </row>
    <row r="57" spans="6:10" x14ac:dyDescent="0.25">
      <c r="F57" s="238" t="s">
        <v>178</v>
      </c>
      <c r="G57" s="239"/>
      <c r="H57" s="239"/>
      <c r="I57" s="239"/>
      <c r="J57" s="183">
        <f>J56*(J51-1)</f>
        <v>201.59999999999997</v>
      </c>
    </row>
    <row r="58" spans="6:10" x14ac:dyDescent="0.25">
      <c r="F58" s="238" t="s">
        <v>179</v>
      </c>
      <c r="G58" s="239"/>
      <c r="H58" s="239"/>
      <c r="I58" s="239"/>
      <c r="J58" s="183">
        <f>J52+J53+J54+J55+J57</f>
        <v>251.59999999999997</v>
      </c>
    </row>
    <row r="59" spans="6:10" x14ac:dyDescent="0.25">
      <c r="F59" s="238" t="s">
        <v>180</v>
      </c>
      <c r="G59" s="239"/>
      <c r="H59" s="239"/>
      <c r="I59" s="239"/>
      <c r="J59" s="184">
        <f>J58/(J50*60)</f>
        <v>0.23296296296296293</v>
      </c>
    </row>
    <row r="60" spans="6:10" ht="15.75" thickBot="1" x14ac:dyDescent="0.3">
      <c r="F60" s="234" t="s">
        <v>181</v>
      </c>
      <c r="G60" s="235"/>
      <c r="H60" s="235"/>
      <c r="I60" s="235"/>
      <c r="J60" s="185">
        <f>1-J59</f>
        <v>0.76703703703703707</v>
      </c>
    </row>
  </sheetData>
  <mergeCells count="37">
    <mergeCell ref="F60:I60"/>
    <mergeCell ref="F54:I54"/>
    <mergeCell ref="F55:I55"/>
    <mergeCell ref="F56:I56"/>
    <mergeCell ref="F57:I57"/>
    <mergeCell ref="F58:I58"/>
    <mergeCell ref="F50:I50"/>
    <mergeCell ref="F51:I51"/>
    <mergeCell ref="F52:I52"/>
    <mergeCell ref="F53:I53"/>
    <mergeCell ref="F59:I59"/>
    <mergeCell ref="G33:H33"/>
    <mergeCell ref="F35:J35"/>
    <mergeCell ref="K35:L35"/>
    <mergeCell ref="K37:L37"/>
    <mergeCell ref="F49:J49"/>
    <mergeCell ref="F24:G24"/>
    <mergeCell ref="F20:J20"/>
    <mergeCell ref="X26:Y26"/>
    <mergeCell ref="F26:H26"/>
    <mergeCell ref="G32:H32"/>
    <mergeCell ref="AB31:AC31"/>
    <mergeCell ref="W31:AA31"/>
    <mergeCell ref="F11:J11"/>
    <mergeCell ref="F15:J15"/>
    <mergeCell ref="A1:D1"/>
    <mergeCell ref="X23:Y23"/>
    <mergeCell ref="X24:Y24"/>
    <mergeCell ref="X25:Y25"/>
    <mergeCell ref="W19:Y19"/>
    <mergeCell ref="G27:H27"/>
    <mergeCell ref="G28:H28"/>
    <mergeCell ref="G29:H29"/>
    <mergeCell ref="G30:H30"/>
    <mergeCell ref="G31:H31"/>
    <mergeCell ref="F22:G22"/>
    <mergeCell ref="F23:G23"/>
  </mergeCells>
  <phoneticPr fontId="14" type="noConversion"/>
  <pageMargins left="0.7" right="0.7" top="0.75" bottom="0.75" header="0.3" footer="0.3"/>
  <pageSetup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DD8AE2-CD3A-4FD3-B4E3-800A8BAD5379}">
  <sheetPr>
    <tabColor theme="8"/>
  </sheetPr>
  <dimension ref="A1:AC60"/>
  <sheetViews>
    <sheetView zoomScaleNormal="100" workbookViewId="0">
      <selection activeCell="A2" sqref="A2"/>
    </sheetView>
  </sheetViews>
  <sheetFormatPr defaultRowHeight="15" x14ac:dyDescent="0.25"/>
  <cols>
    <col min="1" max="1" width="55.85546875" bestFit="1" customWidth="1"/>
    <col min="2" max="2" width="9.140625" style="1"/>
    <col min="3" max="3" width="10" style="1" bestFit="1" customWidth="1"/>
    <col min="4" max="4" width="77.5703125" bestFit="1" customWidth="1"/>
    <col min="6" max="6" width="11.42578125" customWidth="1"/>
    <col min="7" max="7" width="13.7109375" customWidth="1"/>
  </cols>
  <sheetData>
    <row r="1" spans="1:14" ht="19.5" thickBot="1" x14ac:dyDescent="0.35">
      <c r="A1" s="264" t="s">
        <v>282</v>
      </c>
      <c r="B1" s="265"/>
      <c r="C1" s="265"/>
      <c r="D1" s="266"/>
    </row>
    <row r="2" spans="1:14" ht="15.75" thickBot="1" x14ac:dyDescent="0.3">
      <c r="A2" s="79" t="s">
        <v>94</v>
      </c>
      <c r="B2" s="64" t="s">
        <v>0</v>
      </c>
      <c r="C2" s="80" t="s">
        <v>29</v>
      </c>
      <c r="D2" s="81" t="s">
        <v>1</v>
      </c>
      <c r="L2" s="34" t="s">
        <v>61</v>
      </c>
      <c r="M2" s="35" t="s">
        <v>195</v>
      </c>
      <c r="N2" s="36">
        <v>44396</v>
      </c>
    </row>
    <row r="3" spans="1:14" x14ac:dyDescent="0.25">
      <c r="A3" s="65" t="s">
        <v>134</v>
      </c>
      <c r="B3" s="66">
        <v>80</v>
      </c>
      <c r="C3" s="67" t="s">
        <v>33</v>
      </c>
      <c r="D3" s="68" t="s">
        <v>277</v>
      </c>
    </row>
    <row r="4" spans="1:14" x14ac:dyDescent="0.25">
      <c r="A4" s="12" t="s">
        <v>135</v>
      </c>
      <c r="B4" s="58">
        <v>5</v>
      </c>
      <c r="C4" s="2" t="s">
        <v>32</v>
      </c>
      <c r="D4" s="13" t="s">
        <v>51</v>
      </c>
    </row>
    <row r="5" spans="1:14" x14ac:dyDescent="0.25">
      <c r="A5" s="12" t="s">
        <v>145</v>
      </c>
      <c r="B5" s="58">
        <v>90</v>
      </c>
      <c r="C5" s="2" t="s">
        <v>34</v>
      </c>
      <c r="D5" s="13" t="s">
        <v>52</v>
      </c>
    </row>
    <row r="6" spans="1:14" x14ac:dyDescent="0.25">
      <c r="A6" s="12" t="s">
        <v>139</v>
      </c>
      <c r="B6" s="99">
        <v>0.3</v>
      </c>
      <c r="C6" s="2" t="s">
        <v>137</v>
      </c>
      <c r="D6" s="13" t="s">
        <v>138</v>
      </c>
    </row>
    <row r="7" spans="1:14" ht="15.75" customHeight="1" x14ac:dyDescent="0.25">
      <c r="A7" s="12" t="s">
        <v>120</v>
      </c>
      <c r="B7" s="58">
        <v>1200</v>
      </c>
      <c r="C7" s="2" t="s">
        <v>30</v>
      </c>
      <c r="D7" s="13" t="s">
        <v>275</v>
      </c>
    </row>
    <row r="8" spans="1:14" x14ac:dyDescent="0.25">
      <c r="A8" s="12" t="s">
        <v>99</v>
      </c>
      <c r="B8" s="58">
        <v>100</v>
      </c>
      <c r="C8" s="2" t="s">
        <v>31</v>
      </c>
      <c r="D8" s="13" t="s">
        <v>276</v>
      </c>
    </row>
    <row r="9" spans="1:14" x14ac:dyDescent="0.25">
      <c r="A9" s="14" t="s">
        <v>117</v>
      </c>
      <c r="B9" s="86">
        <f>(B20*1000*SQRT((B4*360*180)/(B20*1000*B3*PI())))/360</f>
        <v>109.2548430592079</v>
      </c>
      <c r="C9" s="3" t="s">
        <v>31</v>
      </c>
      <c r="D9" s="93" t="s">
        <v>119</v>
      </c>
    </row>
    <row r="10" spans="1:14" ht="15.75" thickBot="1" x14ac:dyDescent="0.3">
      <c r="A10" s="14" t="s">
        <v>100</v>
      </c>
      <c r="B10" s="87">
        <f>(B8*360)/(B20*1000)</f>
        <v>0.03</v>
      </c>
      <c r="C10" s="3" t="s">
        <v>101</v>
      </c>
      <c r="D10" s="13" t="s">
        <v>118</v>
      </c>
    </row>
    <row r="11" spans="1:14" ht="15.75" thickBot="1" x14ac:dyDescent="0.3">
      <c r="A11" s="14" t="s">
        <v>140</v>
      </c>
      <c r="B11" s="101">
        <f>2*$B$26*TAN(($B$28/2)*PI()/180)</f>
        <v>159.99999999999997</v>
      </c>
      <c r="C11" s="3" t="s">
        <v>33</v>
      </c>
      <c r="D11" s="13"/>
      <c r="F11" s="260" t="s">
        <v>103</v>
      </c>
      <c r="G11" s="255"/>
      <c r="H11" s="255"/>
      <c r="I11" s="255"/>
      <c r="J11" s="256"/>
    </row>
    <row r="12" spans="1:14" x14ac:dyDescent="0.25">
      <c r="A12" s="14" t="s">
        <v>144</v>
      </c>
      <c r="B12" s="101">
        <f>B11*(1-B6)</f>
        <v>111.99999999999997</v>
      </c>
      <c r="C12" s="3" t="s">
        <v>33</v>
      </c>
      <c r="D12" s="13"/>
      <c r="F12" s="40" t="s">
        <v>104</v>
      </c>
      <c r="G12" s="58">
        <v>200</v>
      </c>
      <c r="H12" t="s">
        <v>30</v>
      </c>
      <c r="J12" s="88"/>
    </row>
    <row r="13" spans="1:14" ht="17.25" x14ac:dyDescent="0.25">
      <c r="A13" s="14" t="s">
        <v>142</v>
      </c>
      <c r="B13" s="4">
        <f>$B$33</f>
        <v>375.00000000000006</v>
      </c>
      <c r="C13" s="3" t="s">
        <v>60</v>
      </c>
      <c r="D13" s="13" t="s">
        <v>8</v>
      </c>
      <c r="F13" s="40" t="s">
        <v>106</v>
      </c>
      <c r="G13" s="58">
        <v>60</v>
      </c>
      <c r="H13" t="s">
        <v>33</v>
      </c>
      <c r="J13" s="88"/>
    </row>
    <row r="14" spans="1:14" ht="18" thickBot="1" x14ac:dyDescent="0.3">
      <c r="A14" s="14" t="s">
        <v>143</v>
      </c>
      <c r="B14" s="4">
        <f>B13*2</f>
        <v>750.00000000000011</v>
      </c>
      <c r="C14" s="3" t="s">
        <v>60</v>
      </c>
      <c r="D14" s="13" t="s">
        <v>8</v>
      </c>
      <c r="F14" s="40" t="s">
        <v>105</v>
      </c>
      <c r="G14" s="58">
        <v>5</v>
      </c>
      <c r="H14" t="s">
        <v>32</v>
      </c>
      <c r="J14" s="88"/>
    </row>
    <row r="15" spans="1:14" ht="15.75" thickBot="1" x14ac:dyDescent="0.3">
      <c r="A15" s="14" t="s">
        <v>48</v>
      </c>
      <c r="B15" s="4">
        <f>$B$34</f>
        <v>4.1887905875799722</v>
      </c>
      <c r="C15" s="3" t="s">
        <v>58</v>
      </c>
      <c r="D15" s="13" t="s">
        <v>116</v>
      </c>
      <c r="F15" s="260" t="s">
        <v>110</v>
      </c>
      <c r="G15" s="255"/>
      <c r="H15" s="255"/>
      <c r="I15" s="255"/>
      <c r="J15" s="256"/>
    </row>
    <row r="16" spans="1:14" x14ac:dyDescent="0.25">
      <c r="A16" s="14" t="s">
        <v>49</v>
      </c>
      <c r="B16" s="4">
        <f>$B$35</f>
        <v>5</v>
      </c>
      <c r="C16" s="3" t="s">
        <v>58</v>
      </c>
      <c r="D16" s="13" t="s">
        <v>116</v>
      </c>
      <c r="F16" s="40" t="s">
        <v>109</v>
      </c>
      <c r="I16" s="89">
        <f>SQRT((G14*360*180)/(G12*1000*G13*PI()))</f>
        <v>9.2705808485565505E-2</v>
      </c>
      <c r="J16" s="90" t="s">
        <v>34</v>
      </c>
    </row>
    <row r="17" spans="1:29" ht="14.25" customHeight="1" x14ac:dyDescent="0.25">
      <c r="A17" s="14" t="s">
        <v>85</v>
      </c>
      <c r="B17" s="4">
        <f>B36</f>
        <v>4.0000000833333358</v>
      </c>
      <c r="C17" s="3" t="s">
        <v>58</v>
      </c>
      <c r="D17" s="13" t="s">
        <v>87</v>
      </c>
      <c r="F17" s="40" t="s">
        <v>111</v>
      </c>
      <c r="I17" s="91">
        <f>(G12*1000*I16)/360</f>
        <v>51.503226936425278</v>
      </c>
      <c r="J17" s="90" t="s">
        <v>31</v>
      </c>
    </row>
    <row r="18" spans="1:29" ht="16.5" customHeight="1" thickBot="1" x14ac:dyDescent="0.3">
      <c r="A18" s="22" t="s">
        <v>86</v>
      </c>
      <c r="B18" s="77">
        <f>B37</f>
        <v>4.0000000833333358</v>
      </c>
      <c r="C18" s="78" t="s">
        <v>58</v>
      </c>
      <c r="D18" s="70" t="s">
        <v>87</v>
      </c>
      <c r="F18" s="40" t="s">
        <v>114</v>
      </c>
      <c r="I18" s="41">
        <f>(I16*PI()*G13)/180*100</f>
        <v>9.7081295627784954</v>
      </c>
      <c r="J18" s="90" t="s">
        <v>58</v>
      </c>
    </row>
    <row r="19" spans="1:29" ht="15" customHeight="1" thickBot="1" x14ac:dyDescent="0.3">
      <c r="A19" s="29" t="s">
        <v>92</v>
      </c>
      <c r="B19" s="30" t="s">
        <v>0</v>
      </c>
      <c r="C19" s="30" t="s">
        <v>29</v>
      </c>
      <c r="D19" s="31" t="s">
        <v>1</v>
      </c>
      <c r="F19" s="40" t="s">
        <v>115</v>
      </c>
      <c r="I19" s="41">
        <f>G14/I17*100</f>
        <v>9.7081295627784954</v>
      </c>
      <c r="J19" s="90" t="s">
        <v>58</v>
      </c>
      <c r="W19" s="260" t="s">
        <v>98</v>
      </c>
      <c r="X19" s="255"/>
      <c r="Y19" s="256"/>
    </row>
    <row r="20" spans="1:29" ht="15.75" customHeight="1" thickBot="1" x14ac:dyDescent="0.3">
      <c r="A20" s="24" t="s">
        <v>35</v>
      </c>
      <c r="B20" s="9">
        <f>B7</f>
        <v>1200</v>
      </c>
      <c r="C20" s="6" t="s">
        <v>30</v>
      </c>
      <c r="D20" s="16" t="s">
        <v>89</v>
      </c>
      <c r="F20" s="260" t="s">
        <v>112</v>
      </c>
      <c r="G20" s="255"/>
      <c r="H20" s="255"/>
      <c r="I20" s="255"/>
      <c r="J20" s="256"/>
      <c r="W20" s="39">
        <f>$B$32</f>
        <v>799.99999999999989</v>
      </c>
      <c r="X20" s="83" t="s">
        <v>68</v>
      </c>
      <c r="Y20" s="84"/>
    </row>
    <row r="21" spans="1:29" ht="17.25" x14ac:dyDescent="0.25">
      <c r="A21" s="24" t="s">
        <v>37</v>
      </c>
      <c r="B21" s="6">
        <f>B8</f>
        <v>100</v>
      </c>
      <c r="C21" s="6" t="s">
        <v>31</v>
      </c>
      <c r="D21" s="13" t="s">
        <v>97</v>
      </c>
      <c r="F21" s="40" t="s">
        <v>113</v>
      </c>
      <c r="I21" s="58">
        <v>3.5999999999999997E-2</v>
      </c>
      <c r="J21" s="90" t="s">
        <v>34</v>
      </c>
      <c r="W21" s="39">
        <f>W20*60</f>
        <v>47999.999999999993</v>
      </c>
      <c r="X21" s="38" t="s">
        <v>62</v>
      </c>
      <c r="Y21" s="85"/>
    </row>
    <row r="22" spans="1:29" ht="17.25" x14ac:dyDescent="0.25">
      <c r="A22" s="24" t="s">
        <v>83</v>
      </c>
      <c r="B22" s="6">
        <v>0.5</v>
      </c>
      <c r="C22" s="6" t="s">
        <v>77</v>
      </c>
      <c r="D22" s="13" t="s">
        <v>80</v>
      </c>
      <c r="F22" s="267" t="s">
        <v>37</v>
      </c>
      <c r="G22" s="268"/>
      <c r="I22">
        <f>(G12*1000*I21)/360</f>
        <v>19.999999999999996</v>
      </c>
      <c r="J22" s="90" t="s">
        <v>31</v>
      </c>
      <c r="W22" s="59">
        <f>W21/1000000</f>
        <v>4.7999999999999994E-2</v>
      </c>
      <c r="X22" s="38" t="s">
        <v>63</v>
      </c>
      <c r="Y22" s="85"/>
    </row>
    <row r="23" spans="1:29" ht="17.25" x14ac:dyDescent="0.25">
      <c r="A23" s="24" t="s">
        <v>84</v>
      </c>
      <c r="B23" s="6">
        <v>0.5</v>
      </c>
      <c r="C23" s="6" t="s">
        <v>77</v>
      </c>
      <c r="D23" s="13" t="s">
        <v>80</v>
      </c>
      <c r="F23" s="267" t="s">
        <v>107</v>
      </c>
      <c r="G23" s="268"/>
      <c r="I23" s="41">
        <f>((I21*PI()*G13)/180)*100</f>
        <v>3.7699111843077513</v>
      </c>
      <c r="J23" s="90" t="s">
        <v>58</v>
      </c>
      <c r="W23" s="37">
        <f>W22*60</f>
        <v>2.8799999999999994</v>
      </c>
      <c r="X23" s="248" t="s">
        <v>64</v>
      </c>
      <c r="Y23" s="249"/>
    </row>
    <row r="24" spans="1:29" ht="18" thickBot="1" x14ac:dyDescent="0.3">
      <c r="A24" s="25" t="s">
        <v>10</v>
      </c>
      <c r="B24" s="26">
        <v>1</v>
      </c>
      <c r="C24" s="28" t="s">
        <v>47</v>
      </c>
      <c r="D24" s="27" t="s">
        <v>96</v>
      </c>
      <c r="F24" s="269" t="s">
        <v>108</v>
      </c>
      <c r="G24" s="270"/>
      <c r="H24" s="43"/>
      <c r="I24" s="44">
        <f>(G14/I22)*100</f>
        <v>25.000000000000007</v>
      </c>
      <c r="J24" s="92" t="s">
        <v>58</v>
      </c>
      <c r="W24" s="37">
        <f>W23*0.386102</f>
        <v>1.1119737599999997</v>
      </c>
      <c r="X24" s="248" t="s">
        <v>65</v>
      </c>
      <c r="Y24" s="249"/>
    </row>
    <row r="25" spans="1:29" ht="15.75" thickBot="1" x14ac:dyDescent="0.3">
      <c r="A25" s="29" t="s">
        <v>93</v>
      </c>
      <c r="B25" s="30" t="s">
        <v>0</v>
      </c>
      <c r="C25" s="30" t="s">
        <v>29</v>
      </c>
      <c r="D25" s="31" t="s">
        <v>1</v>
      </c>
      <c r="W25" s="39">
        <f>W23*247.105</f>
        <v>711.66239999999982</v>
      </c>
      <c r="X25" s="248" t="s">
        <v>66</v>
      </c>
      <c r="Y25" s="249"/>
    </row>
    <row r="26" spans="1:29" ht="15.75" thickBot="1" x14ac:dyDescent="0.3">
      <c r="A26" s="71" t="s">
        <v>38</v>
      </c>
      <c r="B26" s="72">
        <f>$B$3</f>
        <v>80</v>
      </c>
      <c r="C26" s="73" t="s">
        <v>33</v>
      </c>
      <c r="D26" s="16" t="s">
        <v>97</v>
      </c>
      <c r="F26" s="260" t="s">
        <v>98</v>
      </c>
      <c r="G26" s="255"/>
      <c r="H26" s="256"/>
      <c r="W26" s="82">
        <f>W23*100</f>
        <v>287.99999999999994</v>
      </c>
      <c r="X26" s="250" t="s">
        <v>67</v>
      </c>
      <c r="Y26" s="251"/>
    </row>
    <row r="27" spans="1:29" ht="17.25" x14ac:dyDescent="0.25">
      <c r="A27" s="15" t="s">
        <v>3</v>
      </c>
      <c r="B27" s="5">
        <f>$B$4</f>
        <v>5</v>
      </c>
      <c r="C27" s="6" t="s">
        <v>32</v>
      </c>
      <c r="D27" s="16" t="s">
        <v>97</v>
      </c>
      <c r="F27" s="39">
        <f>$B$32</f>
        <v>799.99999999999989</v>
      </c>
      <c r="G27" s="261" t="s">
        <v>68</v>
      </c>
      <c r="H27" s="262"/>
    </row>
    <row r="28" spans="1:29" ht="17.25" x14ac:dyDescent="0.25">
      <c r="A28" s="15" t="s">
        <v>36</v>
      </c>
      <c r="B28" s="5">
        <f>$B$5</f>
        <v>90</v>
      </c>
      <c r="C28" s="6" t="s">
        <v>34</v>
      </c>
      <c r="D28" s="16" t="s">
        <v>97</v>
      </c>
      <c r="F28" s="39">
        <f>F27*60</f>
        <v>47999.999999999993</v>
      </c>
      <c r="G28" s="248" t="s">
        <v>62</v>
      </c>
      <c r="H28" s="249"/>
    </row>
    <row r="29" spans="1:29" ht="17.25" x14ac:dyDescent="0.25">
      <c r="A29" s="15" t="s">
        <v>39</v>
      </c>
      <c r="B29" s="7">
        <f>$B$28/360*$B$20</f>
        <v>300</v>
      </c>
      <c r="C29" s="6" t="s">
        <v>30</v>
      </c>
      <c r="D29" s="13" t="s">
        <v>6</v>
      </c>
      <c r="F29" s="59">
        <f>F28/1000000</f>
        <v>4.7999999999999994E-2</v>
      </c>
      <c r="G29" s="248" t="s">
        <v>63</v>
      </c>
      <c r="H29" s="249"/>
    </row>
    <row r="30" spans="1:29" ht="18" thickBot="1" x14ac:dyDescent="0.3">
      <c r="A30" s="15" t="s">
        <v>40</v>
      </c>
      <c r="B30" s="7">
        <f>2*$B$26*TAN(($B$28/2)*PI()/180)</f>
        <v>159.99999999999997</v>
      </c>
      <c r="C30" s="6" t="s">
        <v>33</v>
      </c>
      <c r="D30" s="13" t="s">
        <v>7</v>
      </c>
      <c r="F30" s="37">
        <f>F29*60</f>
        <v>2.8799999999999994</v>
      </c>
      <c r="G30" s="248" t="s">
        <v>64</v>
      </c>
      <c r="H30" s="249"/>
    </row>
    <row r="31" spans="1:29" ht="18" thickBot="1" x14ac:dyDescent="0.3">
      <c r="A31" s="15" t="s">
        <v>41</v>
      </c>
      <c r="B31" s="5">
        <f>$B$27</f>
        <v>5</v>
      </c>
      <c r="C31" s="6" t="s">
        <v>33</v>
      </c>
      <c r="D31" s="13" t="s">
        <v>3</v>
      </c>
      <c r="F31" s="37">
        <f>F30*0.386102</f>
        <v>1.1119737599999997</v>
      </c>
      <c r="G31" s="248" t="s">
        <v>65</v>
      </c>
      <c r="H31" s="249"/>
      <c r="W31" s="260" t="s">
        <v>72</v>
      </c>
      <c r="X31" s="255"/>
      <c r="Y31" s="255"/>
      <c r="Z31" s="255"/>
      <c r="AA31" s="256"/>
      <c r="AB31" s="260" t="s">
        <v>75</v>
      </c>
      <c r="AC31" s="256"/>
    </row>
    <row r="32" spans="1:29" ht="18" thickBot="1" x14ac:dyDescent="0.3">
      <c r="A32" s="15" t="s">
        <v>42</v>
      </c>
      <c r="B32" s="7">
        <f>$B$30*$B$31</f>
        <v>799.99999999999989</v>
      </c>
      <c r="C32" s="6" t="s">
        <v>53</v>
      </c>
      <c r="D32" s="13" t="s">
        <v>2</v>
      </c>
      <c r="F32" s="39">
        <f>F30*247.105</f>
        <v>711.66239999999982</v>
      </c>
      <c r="G32" s="248" t="s">
        <v>66</v>
      </c>
      <c r="H32" s="249"/>
      <c r="W32" s="47" t="s">
        <v>69</v>
      </c>
      <c r="X32" s="48" t="s">
        <v>70</v>
      </c>
      <c r="Y32" s="48" t="s">
        <v>71</v>
      </c>
      <c r="Z32" s="48" t="s">
        <v>73</v>
      </c>
      <c r="AA32" s="49" t="s">
        <v>74</v>
      </c>
      <c r="AB32" s="47" t="s">
        <v>76</v>
      </c>
      <c r="AC32" s="54">
        <f>B6</f>
        <v>0.3</v>
      </c>
    </row>
    <row r="33" spans="1:27" ht="15.75" customHeight="1" thickBot="1" x14ac:dyDescent="0.3">
      <c r="A33" s="15" t="s">
        <v>43</v>
      </c>
      <c r="B33" s="7">
        <f>$B$29*1000/$B$32</f>
        <v>375.00000000000006</v>
      </c>
      <c r="C33" s="6" t="s">
        <v>54</v>
      </c>
      <c r="D33" s="13" t="s">
        <v>4</v>
      </c>
      <c r="F33" s="82">
        <f>F30*100</f>
        <v>287.99999999999994</v>
      </c>
      <c r="G33" s="250" t="s">
        <v>67</v>
      </c>
      <c r="H33" s="251"/>
      <c r="W33" s="51">
        <v>5</v>
      </c>
      <c r="X33" s="52">
        <f t="shared" ref="X33:X41" si="0">$W$25/60*W33*(1-$AC$32)</f>
        <v>41.513639999999988</v>
      </c>
      <c r="Y33" s="52">
        <f t="shared" ref="Y33:Y41" si="1">$W$26/60*W33*(1-$AC$32)</f>
        <v>16.799999999999994</v>
      </c>
      <c r="Z33" s="52">
        <f t="shared" ref="Z33:Z41" si="2">$W$23/60*W33*(1-$AC$32)</f>
        <v>0.16799999999999995</v>
      </c>
      <c r="AA33" s="53">
        <f t="shared" ref="AA33:AA41" si="3">$W$24/60*W33*(1-$AC$32)</f>
        <v>6.4865135999999976E-2</v>
      </c>
    </row>
    <row r="34" spans="1:27" ht="14.25" customHeight="1" thickBot="1" x14ac:dyDescent="0.3">
      <c r="A34" s="60" t="s">
        <v>44</v>
      </c>
      <c r="B34" s="61">
        <f>$B$43</f>
        <v>4.1887905875799722</v>
      </c>
      <c r="C34" s="62" t="s">
        <v>58</v>
      </c>
      <c r="D34" s="63" t="s">
        <v>23</v>
      </c>
      <c r="W34" s="46">
        <v>15</v>
      </c>
      <c r="X34" s="41">
        <f t="shared" si="0"/>
        <v>124.54091999999996</v>
      </c>
      <c r="Y34" s="41">
        <f t="shared" si="1"/>
        <v>50.399999999999984</v>
      </c>
      <c r="Z34" s="41">
        <f t="shared" si="2"/>
        <v>0.50399999999999989</v>
      </c>
      <c r="AA34" s="42">
        <f t="shared" si="3"/>
        <v>0.19459540799999994</v>
      </c>
    </row>
    <row r="35" spans="1:27" ht="15" customHeight="1" thickBot="1" x14ac:dyDescent="0.3">
      <c r="A35" s="15" t="s">
        <v>45</v>
      </c>
      <c r="B35" s="7">
        <f>$B$45</f>
        <v>5</v>
      </c>
      <c r="C35" s="6" t="s">
        <v>58</v>
      </c>
      <c r="D35" s="13" t="s">
        <v>24</v>
      </c>
      <c r="F35" s="252" t="s">
        <v>72</v>
      </c>
      <c r="G35" s="253"/>
      <c r="H35" s="253"/>
      <c r="I35" s="253"/>
      <c r="J35" s="254"/>
      <c r="K35" s="255" t="s">
        <v>75</v>
      </c>
      <c r="L35" s="256"/>
      <c r="M35" s="160" t="s">
        <v>189</v>
      </c>
      <c r="W35" s="46">
        <v>20</v>
      </c>
      <c r="X35" s="41">
        <f t="shared" si="0"/>
        <v>166.05455999999995</v>
      </c>
      <c r="Y35" s="41">
        <f t="shared" si="1"/>
        <v>67.199999999999974</v>
      </c>
      <c r="Z35" s="41">
        <f t="shared" si="2"/>
        <v>0.67199999999999982</v>
      </c>
      <c r="AA35" s="42">
        <f t="shared" si="3"/>
        <v>0.2594605439999999</v>
      </c>
    </row>
    <row r="36" spans="1:27" ht="14.25" customHeight="1" thickBot="1" x14ac:dyDescent="0.3">
      <c r="A36" s="15" t="s">
        <v>78</v>
      </c>
      <c r="B36" s="7">
        <f>2*($B$3*TAN((B22/2)/1000))*100</f>
        <v>4.0000000833333358</v>
      </c>
      <c r="C36" s="6" t="s">
        <v>58</v>
      </c>
      <c r="D36" s="13" t="s">
        <v>81</v>
      </c>
      <c r="F36" s="166" t="s">
        <v>69</v>
      </c>
      <c r="G36" s="69" t="s">
        <v>70</v>
      </c>
      <c r="H36" s="69" t="s">
        <v>71</v>
      </c>
      <c r="I36" s="69" t="s">
        <v>73</v>
      </c>
      <c r="J36" s="172" t="s">
        <v>74</v>
      </c>
      <c r="K36" s="162" t="s">
        <v>76</v>
      </c>
      <c r="L36" s="163">
        <f>B6*M36</f>
        <v>0.3</v>
      </c>
      <c r="M36">
        <v>1</v>
      </c>
      <c r="W36" s="46">
        <v>25</v>
      </c>
      <c r="X36" s="41">
        <f t="shared" si="0"/>
        <v>207.56819999999996</v>
      </c>
      <c r="Y36" s="41">
        <f t="shared" si="1"/>
        <v>83.999999999999972</v>
      </c>
      <c r="Z36" s="41">
        <f t="shared" si="2"/>
        <v>0.84</v>
      </c>
      <c r="AA36" s="42">
        <f t="shared" si="3"/>
        <v>0.32432567999999989</v>
      </c>
    </row>
    <row r="37" spans="1:27" ht="14.25" customHeight="1" thickBot="1" x14ac:dyDescent="0.3">
      <c r="A37" s="23" t="s">
        <v>79</v>
      </c>
      <c r="B37" s="7">
        <f>2*($B$3*TAN((B23/2)/1000))*100</f>
        <v>4.0000000833333358</v>
      </c>
      <c r="C37" s="69" t="s">
        <v>58</v>
      </c>
      <c r="D37" s="21" t="s">
        <v>82</v>
      </c>
      <c r="F37" s="178">
        <f>J50</f>
        <v>18</v>
      </c>
      <c r="G37" s="179">
        <f>$F$32/60*F37*(1-$L$36)*(1-$L$38)</f>
        <v>114.63299791999999</v>
      </c>
      <c r="H37" s="179">
        <f>$F$33/60*F37*(1-$L$36)*(1-$L$38)</f>
        <v>46.390399999999985</v>
      </c>
      <c r="I37" s="179">
        <f>$F$30/60*F37*(1-$L$36)*(1-$L$38)</f>
        <v>0.46390399999999993</v>
      </c>
      <c r="J37" s="180">
        <f>$F$31/60*F37*(1-$L$36)*(1-$L$38)</f>
        <v>0.17911426220799995</v>
      </c>
      <c r="K37" s="263" t="s">
        <v>187</v>
      </c>
      <c r="L37" s="245"/>
      <c r="M37" s="160" t="s">
        <v>189</v>
      </c>
      <c r="W37" s="46">
        <v>30</v>
      </c>
      <c r="X37" s="41">
        <f t="shared" si="0"/>
        <v>249.08183999999991</v>
      </c>
      <c r="Y37" s="41">
        <f t="shared" si="1"/>
        <v>100.79999999999997</v>
      </c>
      <c r="Z37" s="41">
        <f t="shared" si="2"/>
        <v>1.0079999999999998</v>
      </c>
      <c r="AA37" s="42">
        <f t="shared" si="3"/>
        <v>0.38919081599999988</v>
      </c>
    </row>
    <row r="38" spans="1:27" ht="14.25" customHeight="1" thickBot="1" x14ac:dyDescent="0.3">
      <c r="A38" s="74" t="s">
        <v>20</v>
      </c>
      <c r="B38" s="75"/>
      <c r="C38" s="75"/>
      <c r="D38" s="76"/>
      <c r="F38" s="191">
        <v>5</v>
      </c>
      <c r="G38" s="170">
        <f t="shared" ref="G38:G47" si="4">$F$32/60*F38*(1-$L$36)*(1-$L$38)</f>
        <v>31.842499422222215</v>
      </c>
      <c r="H38" s="170">
        <f t="shared" ref="H38:H47" si="5">$F$33/60*F38*(1-$L$36)*(1-$L$38)</f>
        <v>12.886222222222218</v>
      </c>
      <c r="I38" s="170">
        <f t="shared" ref="I38:I47" si="6">$F$30/60*F38*(1-$L$36)*(1-$L$38)</f>
        <v>0.12886222222222218</v>
      </c>
      <c r="J38" s="171">
        <f t="shared" ref="J38:J47" si="7">$F$31/60*F38*(1-$L$36)*(1-$L$38)</f>
        <v>4.9753961724444427E-2</v>
      </c>
      <c r="K38" s="194" t="s">
        <v>188</v>
      </c>
      <c r="L38" s="177">
        <f>J59*M38</f>
        <v>0.23296296296296293</v>
      </c>
      <c r="M38">
        <v>1</v>
      </c>
      <c r="W38" s="46">
        <v>45</v>
      </c>
      <c r="X38" s="41">
        <f t="shared" si="0"/>
        <v>373.62275999999991</v>
      </c>
      <c r="Y38" s="41">
        <f t="shared" si="1"/>
        <v>151.19999999999996</v>
      </c>
      <c r="Z38" s="41">
        <f t="shared" si="2"/>
        <v>1.5119999999999998</v>
      </c>
      <c r="AA38" s="42">
        <f t="shared" si="3"/>
        <v>0.58378622399999991</v>
      </c>
    </row>
    <row r="39" spans="1:27" ht="15.75" customHeight="1" x14ac:dyDescent="0.25">
      <c r="A39" s="15" t="s">
        <v>11</v>
      </c>
      <c r="B39" s="7">
        <f>$B$20/$B$24</f>
        <v>1200</v>
      </c>
      <c r="C39" s="6" t="s">
        <v>30</v>
      </c>
      <c r="D39" s="13" t="s">
        <v>25</v>
      </c>
      <c r="F39" s="192">
        <v>10</v>
      </c>
      <c r="G39" s="161">
        <f t="shared" si="4"/>
        <v>63.684998844444429</v>
      </c>
      <c r="H39" s="161">
        <f t="shared" si="5"/>
        <v>25.772444444444435</v>
      </c>
      <c r="I39" s="161">
        <f t="shared" si="6"/>
        <v>0.25772444444444437</v>
      </c>
      <c r="J39" s="165">
        <f t="shared" si="7"/>
        <v>9.9507923448888855E-2</v>
      </c>
      <c r="W39" s="55">
        <v>60</v>
      </c>
      <c r="X39" s="56">
        <f t="shared" si="0"/>
        <v>498.16367999999983</v>
      </c>
      <c r="Y39" s="56">
        <f t="shared" si="1"/>
        <v>201.59999999999994</v>
      </c>
      <c r="Z39" s="56">
        <f t="shared" si="2"/>
        <v>2.0159999999999996</v>
      </c>
      <c r="AA39" s="57">
        <f t="shared" si="3"/>
        <v>0.77838163199999977</v>
      </c>
    </row>
    <row r="40" spans="1:27" x14ac:dyDescent="0.25">
      <c r="A40" s="15" t="s">
        <v>12</v>
      </c>
      <c r="B40" s="7">
        <f>$B$28/360*$B$39</f>
        <v>300</v>
      </c>
      <c r="C40" s="6" t="s">
        <v>30</v>
      </c>
      <c r="D40" s="13" t="s">
        <v>15</v>
      </c>
      <c r="F40" s="192">
        <v>15</v>
      </c>
      <c r="G40" s="161">
        <f t="shared" si="4"/>
        <v>95.52749826666664</v>
      </c>
      <c r="H40" s="161">
        <f t="shared" si="5"/>
        <v>38.658666666666655</v>
      </c>
      <c r="I40" s="161">
        <f t="shared" si="6"/>
        <v>0.38658666666666658</v>
      </c>
      <c r="J40" s="165">
        <f t="shared" si="7"/>
        <v>0.1492618851733333</v>
      </c>
      <c r="W40" s="46">
        <v>75</v>
      </c>
      <c r="X40" s="41">
        <f t="shared" si="0"/>
        <v>622.7045999999998</v>
      </c>
      <c r="Y40" s="41">
        <f t="shared" si="1"/>
        <v>251.99999999999994</v>
      </c>
      <c r="Z40" s="41">
        <f t="shared" si="2"/>
        <v>2.5199999999999996</v>
      </c>
      <c r="AA40" s="42">
        <f t="shared" si="3"/>
        <v>0.97297703999999985</v>
      </c>
    </row>
    <row r="41" spans="1:27" ht="18" thickBot="1" x14ac:dyDescent="0.3">
      <c r="A41" s="15" t="s">
        <v>21</v>
      </c>
      <c r="B41" s="7">
        <f>$B$40*1000/$B$32</f>
        <v>375.00000000000006</v>
      </c>
      <c r="C41" s="8" t="s">
        <v>54</v>
      </c>
      <c r="D41" s="13" t="s">
        <v>22</v>
      </c>
      <c r="F41" s="192">
        <v>20</v>
      </c>
      <c r="G41" s="161">
        <f t="shared" si="4"/>
        <v>127.36999768888886</v>
      </c>
      <c r="H41" s="161">
        <f t="shared" si="5"/>
        <v>51.54488888888887</v>
      </c>
      <c r="I41" s="161">
        <f t="shared" si="6"/>
        <v>0.51544888888888873</v>
      </c>
      <c r="J41" s="165">
        <f t="shared" si="7"/>
        <v>0.19901584689777771</v>
      </c>
      <c r="W41" s="50">
        <v>90</v>
      </c>
      <c r="X41" s="44">
        <f t="shared" si="0"/>
        <v>747.24551999999983</v>
      </c>
      <c r="Y41" s="44">
        <f t="shared" si="1"/>
        <v>302.39999999999992</v>
      </c>
      <c r="Z41" s="44">
        <f t="shared" si="2"/>
        <v>3.0239999999999996</v>
      </c>
      <c r="AA41" s="45">
        <f t="shared" si="3"/>
        <v>1.1675724479999998</v>
      </c>
    </row>
    <row r="42" spans="1:27" x14ac:dyDescent="0.25">
      <c r="A42" s="15" t="s">
        <v>56</v>
      </c>
      <c r="B42" s="32">
        <f>(360*$B$21)/($B$39*1000)</f>
        <v>0.03</v>
      </c>
      <c r="C42" s="8" t="s">
        <v>57</v>
      </c>
      <c r="D42" s="13" t="s">
        <v>55</v>
      </c>
      <c r="F42" s="192">
        <v>25</v>
      </c>
      <c r="G42" s="161">
        <f t="shared" si="4"/>
        <v>159.21249711111108</v>
      </c>
      <c r="H42" s="161">
        <f t="shared" si="5"/>
        <v>64.431111111111093</v>
      </c>
      <c r="I42" s="161">
        <f t="shared" si="6"/>
        <v>0.64431111111111117</v>
      </c>
      <c r="J42" s="165">
        <f t="shared" si="7"/>
        <v>0.24876980862222214</v>
      </c>
    </row>
    <row r="43" spans="1:27" x14ac:dyDescent="0.25">
      <c r="A43" s="15" t="s">
        <v>13</v>
      </c>
      <c r="B43" s="7">
        <f>$B$26*TAN(($B$42)*PI()/180)*100</f>
        <v>4.1887905875799722</v>
      </c>
      <c r="C43" s="9" t="s">
        <v>58</v>
      </c>
      <c r="D43" s="33" t="s">
        <v>59</v>
      </c>
      <c r="F43" s="192">
        <v>30</v>
      </c>
      <c r="G43" s="161">
        <f t="shared" si="4"/>
        <v>191.05499653333328</v>
      </c>
      <c r="H43" s="161">
        <f t="shared" si="5"/>
        <v>77.317333333333309</v>
      </c>
      <c r="I43" s="161">
        <f t="shared" si="6"/>
        <v>0.77317333333333316</v>
      </c>
      <c r="J43" s="165">
        <f t="shared" si="7"/>
        <v>0.29852377034666661</v>
      </c>
    </row>
    <row r="44" spans="1:27" ht="15" customHeight="1" thickBot="1" x14ac:dyDescent="0.3">
      <c r="A44" s="15" t="s">
        <v>14</v>
      </c>
      <c r="B44" s="7">
        <f>$B$27/$B$21*100</f>
        <v>5</v>
      </c>
      <c r="C44" s="9" t="s">
        <v>58</v>
      </c>
      <c r="D44" s="13" t="s">
        <v>5</v>
      </c>
      <c r="F44" s="193">
        <v>45</v>
      </c>
      <c r="G44" s="174">
        <f t="shared" si="4"/>
        <v>286.58249479999995</v>
      </c>
      <c r="H44" s="174">
        <f t="shared" si="5"/>
        <v>115.97599999999997</v>
      </c>
      <c r="I44" s="174">
        <f t="shared" si="6"/>
        <v>1.1597599999999999</v>
      </c>
      <c r="J44" s="175">
        <f t="shared" si="7"/>
        <v>0.44778565551999994</v>
      </c>
    </row>
    <row r="45" spans="1:27" ht="15" customHeight="1" thickBot="1" x14ac:dyDescent="0.3">
      <c r="A45" s="15" t="s">
        <v>9</v>
      </c>
      <c r="B45" s="7">
        <f>$B$27/$B$21/$B$24*100</f>
        <v>5</v>
      </c>
      <c r="C45" s="9" t="s">
        <v>58</v>
      </c>
      <c r="D45" s="13" t="s">
        <v>17</v>
      </c>
      <c r="F45" s="178">
        <v>60</v>
      </c>
      <c r="G45" s="179">
        <f t="shared" si="4"/>
        <v>382.10999306666656</v>
      </c>
      <c r="H45" s="179">
        <f t="shared" si="5"/>
        <v>154.63466666666662</v>
      </c>
      <c r="I45" s="179">
        <f t="shared" si="6"/>
        <v>1.5463466666666663</v>
      </c>
      <c r="J45" s="180">
        <f t="shared" si="7"/>
        <v>0.59704754069333321</v>
      </c>
    </row>
    <row r="46" spans="1:27" x14ac:dyDescent="0.25">
      <c r="A46" s="17" t="s">
        <v>16</v>
      </c>
      <c r="B46" s="10">
        <f>2*$B$26*TAN((3.2/2)*PI()/180)</f>
        <v>4.4692046714539995</v>
      </c>
      <c r="C46" s="8" t="s">
        <v>33</v>
      </c>
      <c r="D46" s="13" t="s">
        <v>28</v>
      </c>
      <c r="F46" s="169">
        <v>75</v>
      </c>
      <c r="G46" s="170">
        <f t="shared" si="4"/>
        <v>477.63749133333323</v>
      </c>
      <c r="H46" s="170">
        <f t="shared" si="5"/>
        <v>193.29333333333329</v>
      </c>
      <c r="I46" s="170">
        <f t="shared" si="6"/>
        <v>1.9329333333333332</v>
      </c>
      <c r="J46" s="171">
        <f t="shared" si="7"/>
        <v>0.7463094258666666</v>
      </c>
    </row>
    <row r="47" spans="1:27" ht="15.75" thickBot="1" x14ac:dyDescent="0.3">
      <c r="A47" s="17" t="s">
        <v>18</v>
      </c>
      <c r="B47" s="11">
        <f>$B$46/($B$44/100)</f>
        <v>89.384093429079982</v>
      </c>
      <c r="C47" s="9" t="s">
        <v>47</v>
      </c>
      <c r="D47" s="13" t="s">
        <v>26</v>
      </c>
      <c r="F47" s="166">
        <v>90</v>
      </c>
      <c r="G47" s="167">
        <f t="shared" si="4"/>
        <v>573.1649895999999</v>
      </c>
      <c r="H47" s="167">
        <f t="shared" si="5"/>
        <v>231.95199999999994</v>
      </c>
      <c r="I47" s="167">
        <f t="shared" si="6"/>
        <v>2.3195199999999998</v>
      </c>
      <c r="J47" s="168">
        <f t="shared" si="7"/>
        <v>0.89557131103999987</v>
      </c>
    </row>
    <row r="48" spans="1:27" ht="15.75" thickBot="1" x14ac:dyDescent="0.3">
      <c r="A48" s="18" t="s">
        <v>19</v>
      </c>
      <c r="B48" s="19">
        <f>B47/B21</f>
        <v>0.8938409342907998</v>
      </c>
      <c r="C48" s="20" t="s">
        <v>46</v>
      </c>
      <c r="D48" s="21" t="s">
        <v>27</v>
      </c>
    </row>
    <row r="49" spans="6:10" ht="15.75" thickBot="1" x14ac:dyDescent="0.3">
      <c r="F49" s="243" t="s">
        <v>190</v>
      </c>
      <c r="G49" s="244"/>
      <c r="H49" s="244"/>
      <c r="I49" s="244"/>
      <c r="J49" s="245"/>
    </row>
    <row r="50" spans="6:10" x14ac:dyDescent="0.25">
      <c r="F50" s="246" t="s">
        <v>182</v>
      </c>
      <c r="G50" s="247"/>
      <c r="H50" s="247"/>
      <c r="I50" s="247"/>
      <c r="J50" s="181">
        <v>18</v>
      </c>
    </row>
    <row r="51" spans="6:10" x14ac:dyDescent="0.25">
      <c r="F51" s="236" t="s">
        <v>177</v>
      </c>
      <c r="G51" s="237"/>
      <c r="H51" s="237"/>
      <c r="I51" s="237"/>
      <c r="J51" s="182">
        <v>10</v>
      </c>
    </row>
    <row r="52" spans="6:10" x14ac:dyDescent="0.25">
      <c r="F52" s="236" t="s">
        <v>183</v>
      </c>
      <c r="G52" s="237"/>
      <c r="H52" s="237"/>
      <c r="I52" s="237"/>
      <c r="J52" s="182">
        <v>15</v>
      </c>
    </row>
    <row r="53" spans="6:10" x14ac:dyDescent="0.25">
      <c r="F53" s="236" t="s">
        <v>184</v>
      </c>
      <c r="G53" s="237"/>
      <c r="H53" s="237"/>
      <c r="I53" s="237"/>
      <c r="J53" s="182">
        <v>10</v>
      </c>
    </row>
    <row r="54" spans="6:10" x14ac:dyDescent="0.25">
      <c r="F54" s="236" t="s">
        <v>185</v>
      </c>
      <c r="G54" s="237"/>
      <c r="H54" s="237"/>
      <c r="I54" s="237"/>
      <c r="J54" s="182">
        <v>10</v>
      </c>
    </row>
    <row r="55" spans="6:10" x14ac:dyDescent="0.25">
      <c r="F55" s="236" t="s">
        <v>186</v>
      </c>
      <c r="G55" s="237"/>
      <c r="H55" s="237"/>
      <c r="I55" s="237"/>
      <c r="J55" s="182">
        <v>15</v>
      </c>
    </row>
    <row r="56" spans="6:10" x14ac:dyDescent="0.25">
      <c r="F56" s="238" t="s">
        <v>176</v>
      </c>
      <c r="G56" s="239"/>
      <c r="H56" s="239"/>
      <c r="I56" s="239"/>
      <c r="J56" s="183">
        <f>B12/B4</f>
        <v>22.399999999999995</v>
      </c>
    </row>
    <row r="57" spans="6:10" x14ac:dyDescent="0.25">
      <c r="F57" s="238" t="s">
        <v>178</v>
      </c>
      <c r="G57" s="239"/>
      <c r="H57" s="239"/>
      <c r="I57" s="239"/>
      <c r="J57" s="183">
        <f>J56*(J51-1)</f>
        <v>201.59999999999997</v>
      </c>
    </row>
    <row r="58" spans="6:10" x14ac:dyDescent="0.25">
      <c r="F58" s="238" t="s">
        <v>179</v>
      </c>
      <c r="G58" s="239"/>
      <c r="H58" s="239"/>
      <c r="I58" s="239"/>
      <c r="J58" s="183">
        <f>J52+J53+J54+J55+J57</f>
        <v>251.59999999999997</v>
      </c>
    </row>
    <row r="59" spans="6:10" x14ac:dyDescent="0.25">
      <c r="F59" s="238" t="s">
        <v>180</v>
      </c>
      <c r="G59" s="239"/>
      <c r="H59" s="239"/>
      <c r="I59" s="239"/>
      <c r="J59" s="184">
        <f>J58/(J50*60)</f>
        <v>0.23296296296296293</v>
      </c>
    </row>
    <row r="60" spans="6:10" ht="15.75" thickBot="1" x14ac:dyDescent="0.3">
      <c r="F60" s="234" t="s">
        <v>181</v>
      </c>
      <c r="G60" s="235"/>
      <c r="H60" s="235"/>
      <c r="I60" s="235"/>
      <c r="J60" s="185">
        <f>1-J59</f>
        <v>0.76703703703703707</v>
      </c>
    </row>
  </sheetData>
  <mergeCells count="37">
    <mergeCell ref="F60:I60"/>
    <mergeCell ref="F49:J49"/>
    <mergeCell ref="F50:I50"/>
    <mergeCell ref="F51:I51"/>
    <mergeCell ref="F52:I52"/>
    <mergeCell ref="F53:I53"/>
    <mergeCell ref="F54:I54"/>
    <mergeCell ref="F55:I55"/>
    <mergeCell ref="F56:I56"/>
    <mergeCell ref="F57:I57"/>
    <mergeCell ref="F58:I58"/>
    <mergeCell ref="F59:I59"/>
    <mergeCell ref="AB31:AC31"/>
    <mergeCell ref="G32:H32"/>
    <mergeCell ref="G33:H33"/>
    <mergeCell ref="F35:J35"/>
    <mergeCell ref="K35:L35"/>
    <mergeCell ref="W31:AA31"/>
    <mergeCell ref="K37:L37"/>
    <mergeCell ref="G27:H27"/>
    <mergeCell ref="G28:H28"/>
    <mergeCell ref="G29:H29"/>
    <mergeCell ref="G30:H30"/>
    <mergeCell ref="G31:H31"/>
    <mergeCell ref="F26:H26"/>
    <mergeCell ref="X26:Y26"/>
    <mergeCell ref="A1:D1"/>
    <mergeCell ref="F11:J11"/>
    <mergeCell ref="F15:J15"/>
    <mergeCell ref="W19:Y19"/>
    <mergeCell ref="F20:J20"/>
    <mergeCell ref="F22:G22"/>
    <mergeCell ref="F23:G23"/>
    <mergeCell ref="X23:Y23"/>
    <mergeCell ref="F24:G24"/>
    <mergeCell ref="X24:Y24"/>
    <mergeCell ref="X25:Y25"/>
  </mergeCells>
  <pageMargins left="0.7" right="0.7" top="0.75" bottom="0.75" header="0.3" footer="0.3"/>
  <pageSetup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0D71AB-5A91-4A6D-9008-F38362568548}">
  <sheetPr>
    <tabColor theme="8"/>
  </sheetPr>
  <dimension ref="A1:AC59"/>
  <sheetViews>
    <sheetView zoomScaleNormal="100" workbookViewId="0">
      <selection activeCell="D4" sqref="D4"/>
    </sheetView>
  </sheetViews>
  <sheetFormatPr defaultRowHeight="15" x14ac:dyDescent="0.25"/>
  <cols>
    <col min="1" max="1" width="55.85546875" bestFit="1" customWidth="1"/>
    <col min="2" max="2" width="9.140625" style="1"/>
    <col min="3" max="3" width="10" style="1" bestFit="1" customWidth="1"/>
    <col min="4" max="4" width="77.5703125" bestFit="1" customWidth="1"/>
    <col min="6" max="6" width="11.42578125" customWidth="1"/>
    <col min="7" max="7" width="13.7109375" customWidth="1"/>
  </cols>
  <sheetData>
    <row r="1" spans="1:14" ht="19.5" thickBot="1" x14ac:dyDescent="0.35">
      <c r="A1" s="264" t="s">
        <v>268</v>
      </c>
      <c r="B1" s="265"/>
      <c r="C1" s="265"/>
      <c r="D1" s="266"/>
    </row>
    <row r="2" spans="1:14" ht="15.75" thickBot="1" x14ac:dyDescent="0.3">
      <c r="A2" s="79" t="s">
        <v>94</v>
      </c>
      <c r="B2" s="64" t="s">
        <v>0</v>
      </c>
      <c r="C2" s="80" t="s">
        <v>29</v>
      </c>
      <c r="D2" s="81" t="s">
        <v>1</v>
      </c>
      <c r="L2" s="34" t="s">
        <v>61</v>
      </c>
      <c r="M2" s="35" t="s">
        <v>195</v>
      </c>
      <c r="N2" s="36">
        <v>44396</v>
      </c>
    </row>
    <row r="3" spans="1:14" x14ac:dyDescent="0.25">
      <c r="A3" s="65" t="s">
        <v>134</v>
      </c>
      <c r="B3" s="66">
        <v>100</v>
      </c>
      <c r="C3" s="67" t="s">
        <v>33</v>
      </c>
      <c r="D3" s="68" t="s">
        <v>280</v>
      </c>
    </row>
    <row r="4" spans="1:14" x14ac:dyDescent="0.25">
      <c r="A4" s="12" t="s">
        <v>135</v>
      </c>
      <c r="B4" s="58">
        <v>5</v>
      </c>
      <c r="C4" s="2" t="s">
        <v>32</v>
      </c>
      <c r="D4" s="13" t="s">
        <v>51</v>
      </c>
    </row>
    <row r="5" spans="1:14" x14ac:dyDescent="0.25">
      <c r="A5" s="12" t="s">
        <v>145</v>
      </c>
      <c r="B5" s="58">
        <v>100</v>
      </c>
      <c r="C5" s="2" t="s">
        <v>34</v>
      </c>
      <c r="D5" s="13" t="s">
        <v>269</v>
      </c>
    </row>
    <row r="6" spans="1:14" x14ac:dyDescent="0.25">
      <c r="A6" s="12" t="s">
        <v>139</v>
      </c>
      <c r="B6" s="99">
        <v>0.3</v>
      </c>
      <c r="C6" s="2" t="s">
        <v>137</v>
      </c>
      <c r="D6" s="13" t="s">
        <v>138</v>
      </c>
    </row>
    <row r="7" spans="1:14" ht="15.75" customHeight="1" thickBot="1" x14ac:dyDescent="0.3">
      <c r="A7" s="12" t="s">
        <v>120</v>
      </c>
      <c r="B7" s="58">
        <v>2000</v>
      </c>
      <c r="C7" s="2" t="s">
        <v>30</v>
      </c>
      <c r="D7" s="13" t="s">
        <v>270</v>
      </c>
    </row>
    <row r="8" spans="1:14" ht="15.75" thickBot="1" x14ac:dyDescent="0.3">
      <c r="A8" s="12" t="s">
        <v>99</v>
      </c>
      <c r="B8" s="58">
        <v>400</v>
      </c>
      <c r="C8" s="2" t="s">
        <v>31</v>
      </c>
      <c r="D8" s="13" t="s">
        <v>273</v>
      </c>
    </row>
    <row r="9" spans="1:14" ht="15.75" thickBot="1" x14ac:dyDescent="0.3">
      <c r="A9" s="14" t="s">
        <v>140</v>
      </c>
      <c r="B9" s="101">
        <f>2*$B$25*TAN(($B$27/2)*PI()/180)</f>
        <v>238.350718518842</v>
      </c>
      <c r="C9" s="3" t="s">
        <v>33</v>
      </c>
      <c r="D9" s="13"/>
      <c r="F9" s="260" t="s">
        <v>103</v>
      </c>
      <c r="G9" s="255"/>
      <c r="H9" s="255"/>
      <c r="I9" s="255"/>
      <c r="J9" s="256"/>
    </row>
    <row r="10" spans="1:14" x14ac:dyDescent="0.25">
      <c r="A10" s="14" t="s">
        <v>144</v>
      </c>
      <c r="B10" s="101">
        <f>B9*(1-B6)</f>
        <v>166.8455029631894</v>
      </c>
      <c r="C10" s="3" t="s">
        <v>33</v>
      </c>
      <c r="D10" s="13"/>
      <c r="F10" s="40" t="s">
        <v>104</v>
      </c>
      <c r="G10" s="58">
        <v>200</v>
      </c>
      <c r="H10" t="s">
        <v>30</v>
      </c>
      <c r="J10" s="88"/>
    </row>
    <row r="11" spans="1:14" ht="17.25" x14ac:dyDescent="0.25">
      <c r="A11" s="14" t="s">
        <v>142</v>
      </c>
      <c r="B11" s="4">
        <f>$B$32</f>
        <v>1678.19926235456</v>
      </c>
      <c r="C11" s="3" t="s">
        <v>60</v>
      </c>
      <c r="D11" s="13" t="s">
        <v>8</v>
      </c>
      <c r="F11" s="40" t="s">
        <v>106</v>
      </c>
      <c r="G11" s="58">
        <v>60</v>
      </c>
      <c r="H11" t="s">
        <v>33</v>
      </c>
      <c r="J11" s="88"/>
    </row>
    <row r="12" spans="1:14" ht="18" thickBot="1" x14ac:dyDescent="0.3">
      <c r="A12" s="14" t="s">
        <v>143</v>
      </c>
      <c r="B12" s="4">
        <f>B11*2</f>
        <v>3356.39852470912</v>
      </c>
      <c r="C12" s="3" t="s">
        <v>60</v>
      </c>
      <c r="D12" s="13" t="s">
        <v>8</v>
      </c>
      <c r="F12" s="40" t="s">
        <v>105</v>
      </c>
      <c r="G12" s="58">
        <v>5</v>
      </c>
      <c r="H12" t="s">
        <v>32</v>
      </c>
      <c r="J12" s="88"/>
    </row>
    <row r="13" spans="1:14" ht="15.75" thickBot="1" x14ac:dyDescent="0.3">
      <c r="A13" s="14" t="s">
        <v>48</v>
      </c>
      <c r="B13" s="4">
        <f>$B$33</f>
        <v>3.4906586457640514</v>
      </c>
      <c r="C13" s="3" t="s">
        <v>58</v>
      </c>
      <c r="D13" s="13" t="s">
        <v>116</v>
      </c>
      <c r="F13" s="260" t="s">
        <v>110</v>
      </c>
      <c r="G13" s="255"/>
      <c r="H13" s="255"/>
      <c r="I13" s="255"/>
      <c r="J13" s="256"/>
    </row>
    <row r="14" spans="1:14" x14ac:dyDescent="0.25">
      <c r="A14" s="14" t="s">
        <v>49</v>
      </c>
      <c r="B14" s="4">
        <f>$B$34</f>
        <v>1.25</v>
      </c>
      <c r="C14" s="3" t="s">
        <v>58</v>
      </c>
      <c r="D14" s="13" t="s">
        <v>116</v>
      </c>
      <c r="F14" s="40" t="s">
        <v>109</v>
      </c>
      <c r="I14" s="89">
        <f>SQRT((G12*360*180)/(G10*1000*G11*PI()))</f>
        <v>9.2705808485565505E-2</v>
      </c>
      <c r="J14" s="90" t="s">
        <v>34</v>
      </c>
    </row>
    <row r="15" spans="1:14" ht="14.25" customHeight="1" x14ac:dyDescent="0.25">
      <c r="A15" s="14" t="s">
        <v>85</v>
      </c>
      <c r="B15" s="4">
        <f>B35</f>
        <v>4.0000000533333342</v>
      </c>
      <c r="C15" s="3" t="s">
        <v>58</v>
      </c>
      <c r="D15" s="13" t="s">
        <v>87</v>
      </c>
      <c r="F15" s="40" t="s">
        <v>111</v>
      </c>
      <c r="I15" s="91">
        <f>(G10*1000*I14)/360</f>
        <v>51.503226936425278</v>
      </c>
      <c r="J15" s="90" t="s">
        <v>31</v>
      </c>
    </row>
    <row r="16" spans="1:14" ht="16.5" customHeight="1" thickBot="1" x14ac:dyDescent="0.3">
      <c r="A16" s="22" t="s">
        <v>86</v>
      </c>
      <c r="B16" s="208">
        <f>B36</f>
        <v>4.0000000533333342</v>
      </c>
      <c r="C16" s="78" t="s">
        <v>58</v>
      </c>
      <c r="D16" s="70" t="s">
        <v>87</v>
      </c>
      <c r="F16" s="40" t="s">
        <v>114</v>
      </c>
      <c r="I16" s="41">
        <f>(I14*PI()*G11)/180*100</f>
        <v>9.7081295627784954</v>
      </c>
      <c r="J16" s="90" t="s">
        <v>58</v>
      </c>
    </row>
    <row r="17" spans="1:29" ht="15" customHeight="1" thickBot="1" x14ac:dyDescent="0.3">
      <c r="A17" s="29" t="s">
        <v>92</v>
      </c>
      <c r="B17" s="30" t="s">
        <v>0</v>
      </c>
      <c r="C17" s="30" t="s">
        <v>29</v>
      </c>
      <c r="D17" s="31" t="s">
        <v>1</v>
      </c>
      <c r="F17" s="40" t="s">
        <v>115</v>
      </c>
      <c r="I17" s="41">
        <f>G12/I15*100</f>
        <v>9.7081295627784954</v>
      </c>
      <c r="J17" s="90" t="s">
        <v>58</v>
      </c>
      <c r="W17" s="260" t="s">
        <v>98</v>
      </c>
      <c r="X17" s="255"/>
      <c r="Y17" s="256"/>
    </row>
    <row r="18" spans="1:29" ht="15.75" customHeight="1" thickBot="1" x14ac:dyDescent="0.3">
      <c r="A18" s="24" t="s">
        <v>35</v>
      </c>
      <c r="B18" s="9">
        <f>B7</f>
        <v>2000</v>
      </c>
      <c r="C18" s="6" t="s">
        <v>30</v>
      </c>
      <c r="D18" s="16" t="s">
        <v>89</v>
      </c>
      <c r="F18" s="260" t="s">
        <v>112</v>
      </c>
      <c r="G18" s="255"/>
      <c r="H18" s="255"/>
      <c r="I18" s="255"/>
      <c r="J18" s="256"/>
      <c r="W18" s="39">
        <f>$B$31</f>
        <v>1191.75359259421</v>
      </c>
      <c r="X18" s="83" t="s">
        <v>68</v>
      </c>
      <c r="Y18" s="84"/>
    </row>
    <row r="19" spans="1:29" ht="17.25" x14ac:dyDescent="0.25">
      <c r="A19" s="24" t="s">
        <v>37</v>
      </c>
      <c r="B19" s="6">
        <f>B8</f>
        <v>400</v>
      </c>
      <c r="C19" s="6" t="s">
        <v>31</v>
      </c>
      <c r="D19" s="13" t="s">
        <v>97</v>
      </c>
      <c r="F19" s="40" t="s">
        <v>113</v>
      </c>
      <c r="I19" s="58">
        <v>3.5999999999999997E-2</v>
      </c>
      <c r="J19" s="90" t="s">
        <v>34</v>
      </c>
      <c r="W19" s="39">
        <f>W18*60</f>
        <v>71505.215555652598</v>
      </c>
      <c r="X19" s="38" t="s">
        <v>62</v>
      </c>
      <c r="Y19" s="85"/>
    </row>
    <row r="20" spans="1:29" ht="17.25" x14ac:dyDescent="0.25">
      <c r="A20" s="24" t="s">
        <v>83</v>
      </c>
      <c r="B20" s="6">
        <v>0.4</v>
      </c>
      <c r="C20" s="6" t="s">
        <v>77</v>
      </c>
      <c r="D20" s="13" t="s">
        <v>80</v>
      </c>
      <c r="F20" s="267" t="s">
        <v>37</v>
      </c>
      <c r="G20" s="268"/>
      <c r="I20">
        <f>(G10*1000*I19)/360</f>
        <v>19.999999999999996</v>
      </c>
      <c r="J20" s="90" t="s">
        <v>31</v>
      </c>
      <c r="W20" s="59">
        <f>W19/1000000</f>
        <v>7.1505215555652604E-2</v>
      </c>
      <c r="X20" s="38" t="s">
        <v>63</v>
      </c>
      <c r="Y20" s="85"/>
    </row>
    <row r="21" spans="1:29" ht="17.25" x14ac:dyDescent="0.25">
      <c r="A21" s="24" t="s">
        <v>84</v>
      </c>
      <c r="B21" s="6">
        <v>0.4</v>
      </c>
      <c r="C21" s="6" t="s">
        <v>77</v>
      </c>
      <c r="D21" s="13" t="s">
        <v>80</v>
      </c>
      <c r="F21" s="267" t="s">
        <v>107</v>
      </c>
      <c r="G21" s="268"/>
      <c r="I21" s="41">
        <f>((I19*PI()*G11)/180)*100</f>
        <v>3.7699111843077513</v>
      </c>
      <c r="J21" s="90" t="s">
        <v>58</v>
      </c>
      <c r="W21" s="37">
        <f>W20*60</f>
        <v>4.2903129333391563</v>
      </c>
      <c r="X21" s="248" t="s">
        <v>64</v>
      </c>
      <c r="Y21" s="249"/>
    </row>
    <row r="22" spans="1:29" ht="18" thickBot="1" x14ac:dyDescent="0.3">
      <c r="A22" s="25" t="s">
        <v>10</v>
      </c>
      <c r="B22" s="26">
        <v>1</v>
      </c>
      <c r="C22" s="28" t="s">
        <v>47</v>
      </c>
      <c r="D22" s="27" t="s">
        <v>96</v>
      </c>
      <c r="F22" s="269" t="s">
        <v>108</v>
      </c>
      <c r="G22" s="270"/>
      <c r="H22" s="43"/>
      <c r="I22" s="44">
        <f>(G12/I20)*100</f>
        <v>25.000000000000007</v>
      </c>
      <c r="J22" s="92" t="s">
        <v>58</v>
      </c>
      <c r="W22" s="37">
        <f>W21*0.386102</f>
        <v>1.656498404188115</v>
      </c>
      <c r="X22" s="248" t="s">
        <v>65</v>
      </c>
      <c r="Y22" s="249"/>
    </row>
    <row r="23" spans="1:29" ht="15.75" thickBot="1" x14ac:dyDescent="0.3">
      <c r="A23" s="205" t="s">
        <v>262</v>
      </c>
      <c r="B23" s="206">
        <v>100</v>
      </c>
      <c r="C23" s="207" t="s">
        <v>34</v>
      </c>
      <c r="D23" s="33"/>
      <c r="F23" s="204"/>
      <c r="G23" s="204"/>
      <c r="I23" s="41"/>
      <c r="J23" s="1"/>
      <c r="W23" s="37"/>
      <c r="X23" s="38"/>
      <c r="Y23" s="85"/>
    </row>
    <row r="24" spans="1:29" ht="15.75" thickBot="1" x14ac:dyDescent="0.3">
      <c r="A24" s="29" t="s">
        <v>93</v>
      </c>
      <c r="B24" s="30" t="s">
        <v>0</v>
      </c>
      <c r="C24" s="30" t="s">
        <v>29</v>
      </c>
      <c r="D24" s="31" t="s">
        <v>1</v>
      </c>
      <c r="W24" s="39">
        <f>W21*247.105</f>
        <v>1060.1577773927722</v>
      </c>
      <c r="X24" s="248" t="s">
        <v>66</v>
      </c>
      <c r="Y24" s="249"/>
    </row>
    <row r="25" spans="1:29" ht="15.75" thickBot="1" x14ac:dyDescent="0.3">
      <c r="A25" s="71" t="s">
        <v>38</v>
      </c>
      <c r="B25" s="72">
        <f>$B$3</f>
        <v>100</v>
      </c>
      <c r="C25" s="73" t="s">
        <v>33</v>
      </c>
      <c r="D25" s="16" t="s">
        <v>97</v>
      </c>
      <c r="F25" s="260" t="s">
        <v>98</v>
      </c>
      <c r="G25" s="255"/>
      <c r="H25" s="256"/>
      <c r="W25" s="82">
        <f>W21*100</f>
        <v>429.03129333391564</v>
      </c>
      <c r="X25" s="250" t="s">
        <v>67</v>
      </c>
      <c r="Y25" s="251"/>
    </row>
    <row r="26" spans="1:29" ht="17.25" x14ac:dyDescent="0.25">
      <c r="A26" s="15" t="s">
        <v>3</v>
      </c>
      <c r="B26" s="5">
        <f>$B$4</f>
        <v>5</v>
      </c>
      <c r="C26" s="6" t="s">
        <v>32</v>
      </c>
      <c r="D26" s="16" t="s">
        <v>97</v>
      </c>
      <c r="F26" s="39">
        <f>$B$31</f>
        <v>1191.75359259421</v>
      </c>
      <c r="G26" s="261" t="s">
        <v>68</v>
      </c>
      <c r="H26" s="262"/>
    </row>
    <row r="27" spans="1:29" ht="17.25" x14ac:dyDescent="0.25">
      <c r="A27" s="15" t="s">
        <v>36</v>
      </c>
      <c r="B27" s="5">
        <f>$B$5</f>
        <v>100</v>
      </c>
      <c r="C27" s="6" t="s">
        <v>34</v>
      </c>
      <c r="D27" s="16" t="s">
        <v>97</v>
      </c>
      <c r="F27" s="39">
        <f>F26*60</f>
        <v>71505.215555652598</v>
      </c>
      <c r="G27" s="248" t="s">
        <v>62</v>
      </c>
      <c r="H27" s="249"/>
    </row>
    <row r="28" spans="1:29" ht="17.25" x14ac:dyDescent="0.25">
      <c r="A28" s="15" t="s">
        <v>39</v>
      </c>
      <c r="B28" s="7">
        <f>$B$27/$B$23*$B$18</f>
        <v>2000</v>
      </c>
      <c r="C28" s="6" t="s">
        <v>30</v>
      </c>
      <c r="D28" s="13" t="s">
        <v>267</v>
      </c>
      <c r="F28" s="59">
        <f>F27/1000000</f>
        <v>7.1505215555652604E-2</v>
      </c>
      <c r="G28" s="248" t="s">
        <v>63</v>
      </c>
      <c r="H28" s="249"/>
    </row>
    <row r="29" spans="1:29" ht="18" thickBot="1" x14ac:dyDescent="0.3">
      <c r="A29" s="15" t="s">
        <v>40</v>
      </c>
      <c r="B29" s="7">
        <f>2*$B$25*TAN(($B$27/2)*PI()/180)</f>
        <v>238.350718518842</v>
      </c>
      <c r="C29" s="6" t="s">
        <v>33</v>
      </c>
      <c r="D29" s="13" t="s">
        <v>7</v>
      </c>
      <c r="F29" s="37">
        <f>F28*60</f>
        <v>4.2903129333391563</v>
      </c>
      <c r="G29" s="248" t="s">
        <v>64</v>
      </c>
      <c r="H29" s="249"/>
    </row>
    <row r="30" spans="1:29" ht="18" thickBot="1" x14ac:dyDescent="0.3">
      <c r="A30" s="15" t="s">
        <v>41</v>
      </c>
      <c r="B30" s="5">
        <f>$B$26</f>
        <v>5</v>
      </c>
      <c r="C30" s="6" t="s">
        <v>33</v>
      </c>
      <c r="D30" s="13" t="s">
        <v>3</v>
      </c>
      <c r="F30" s="37">
        <f>F29*0.386102</f>
        <v>1.656498404188115</v>
      </c>
      <c r="G30" s="248" t="s">
        <v>65</v>
      </c>
      <c r="H30" s="249"/>
      <c r="W30" s="260" t="s">
        <v>72</v>
      </c>
      <c r="X30" s="255"/>
      <c r="Y30" s="255"/>
      <c r="Z30" s="255"/>
      <c r="AA30" s="256"/>
      <c r="AB30" s="260" t="s">
        <v>75</v>
      </c>
      <c r="AC30" s="256"/>
    </row>
    <row r="31" spans="1:29" ht="18" thickBot="1" x14ac:dyDescent="0.3">
      <c r="A31" s="15" t="s">
        <v>42</v>
      </c>
      <c r="B31" s="7">
        <f>$B$29*$B$30</f>
        <v>1191.75359259421</v>
      </c>
      <c r="C31" s="6" t="s">
        <v>53</v>
      </c>
      <c r="D31" s="13" t="s">
        <v>2</v>
      </c>
      <c r="F31" s="39">
        <f>F29*247.105</f>
        <v>1060.1577773927722</v>
      </c>
      <c r="G31" s="248" t="s">
        <v>66</v>
      </c>
      <c r="H31" s="249"/>
      <c r="W31" s="47" t="s">
        <v>69</v>
      </c>
      <c r="X31" s="48" t="s">
        <v>70</v>
      </c>
      <c r="Y31" s="48" t="s">
        <v>71</v>
      </c>
      <c r="Z31" s="48" t="s">
        <v>73</v>
      </c>
      <c r="AA31" s="49" t="s">
        <v>74</v>
      </c>
      <c r="AB31" s="47" t="s">
        <v>76</v>
      </c>
      <c r="AC31" s="54">
        <f>B6</f>
        <v>0.3</v>
      </c>
    </row>
    <row r="32" spans="1:29" ht="15.75" customHeight="1" thickBot="1" x14ac:dyDescent="0.3">
      <c r="A32" s="15" t="s">
        <v>43</v>
      </c>
      <c r="B32" s="7">
        <f>$B$28*1000/$B$31</f>
        <v>1678.19926235456</v>
      </c>
      <c r="C32" s="6" t="s">
        <v>54</v>
      </c>
      <c r="D32" s="13" t="s">
        <v>4</v>
      </c>
      <c r="F32" s="82">
        <f>F29*100</f>
        <v>429.03129333391564</v>
      </c>
      <c r="G32" s="250" t="s">
        <v>67</v>
      </c>
      <c r="H32" s="251"/>
      <c r="W32" s="51">
        <v>5</v>
      </c>
      <c r="X32" s="52">
        <f t="shared" ref="X32:X40" si="0">$W$24/60*W32*(1-$AC$31)</f>
        <v>61.842537014578376</v>
      </c>
      <c r="Y32" s="52">
        <f t="shared" ref="Y32:Y40" si="1">$W$25/60*W32*(1-$AC$31)</f>
        <v>25.026825444478412</v>
      </c>
      <c r="Z32" s="52">
        <f t="shared" ref="Z32:Z40" si="2">$W$21/60*W32*(1-$AC$31)</f>
        <v>0.25026825444478407</v>
      </c>
      <c r="AA32" s="53">
        <f t="shared" ref="AA32:AA40" si="3">$W$22/60*W32*(1-$AC$31)</f>
        <v>9.6629073577640043E-2</v>
      </c>
    </row>
    <row r="33" spans="1:27" ht="14.25" customHeight="1" thickBot="1" x14ac:dyDescent="0.3">
      <c r="A33" s="60" t="s">
        <v>44</v>
      </c>
      <c r="B33" s="61">
        <f>$B$42</f>
        <v>3.4906586457640514</v>
      </c>
      <c r="C33" s="62" t="s">
        <v>58</v>
      </c>
      <c r="D33" s="63" t="s">
        <v>23</v>
      </c>
      <c r="W33" s="46">
        <v>15</v>
      </c>
      <c r="X33" s="41">
        <f t="shared" si="0"/>
        <v>185.52761104373513</v>
      </c>
      <c r="Y33" s="41">
        <f t="shared" si="1"/>
        <v>75.080476333435229</v>
      </c>
      <c r="Z33" s="41">
        <f t="shared" si="2"/>
        <v>0.75080476333435231</v>
      </c>
      <c r="AA33" s="42">
        <f t="shared" si="3"/>
        <v>0.28988722073292011</v>
      </c>
    </row>
    <row r="34" spans="1:27" ht="15" customHeight="1" thickBot="1" x14ac:dyDescent="0.3">
      <c r="A34" s="15" t="s">
        <v>45</v>
      </c>
      <c r="B34" s="7">
        <f>$B$44</f>
        <v>1.25</v>
      </c>
      <c r="C34" s="6" t="s">
        <v>58</v>
      </c>
      <c r="D34" s="13" t="s">
        <v>24</v>
      </c>
      <c r="F34" s="252" t="s">
        <v>72</v>
      </c>
      <c r="G34" s="253"/>
      <c r="H34" s="253"/>
      <c r="I34" s="253"/>
      <c r="J34" s="254"/>
      <c r="K34" s="255" t="s">
        <v>75</v>
      </c>
      <c r="L34" s="256"/>
      <c r="M34" s="160" t="s">
        <v>189</v>
      </c>
      <c r="W34" s="46">
        <v>20</v>
      </c>
      <c r="X34" s="41">
        <f t="shared" si="0"/>
        <v>247.3701480583135</v>
      </c>
      <c r="Y34" s="41">
        <f t="shared" si="1"/>
        <v>100.10730177791365</v>
      </c>
      <c r="Z34" s="41">
        <f t="shared" si="2"/>
        <v>1.0010730177791363</v>
      </c>
      <c r="AA34" s="42">
        <f t="shared" si="3"/>
        <v>0.38651629431056017</v>
      </c>
    </row>
    <row r="35" spans="1:27" ht="14.25" customHeight="1" thickBot="1" x14ac:dyDescent="0.3">
      <c r="A35" s="15" t="s">
        <v>78</v>
      </c>
      <c r="B35" s="7">
        <f>2*($B$3*TAN((B20/2)/1000))*100</f>
        <v>4.0000000533333342</v>
      </c>
      <c r="C35" s="6" t="s">
        <v>58</v>
      </c>
      <c r="D35" s="13" t="s">
        <v>81</v>
      </c>
      <c r="F35" s="166" t="s">
        <v>69</v>
      </c>
      <c r="G35" s="69" t="s">
        <v>70</v>
      </c>
      <c r="H35" s="69" t="s">
        <v>71</v>
      </c>
      <c r="I35" s="69" t="s">
        <v>73</v>
      </c>
      <c r="J35" s="172" t="s">
        <v>74</v>
      </c>
      <c r="K35" s="162" t="s">
        <v>76</v>
      </c>
      <c r="L35" s="163">
        <f>B6*M35</f>
        <v>0.3</v>
      </c>
      <c r="M35">
        <v>1</v>
      </c>
      <c r="W35" s="46">
        <v>25</v>
      </c>
      <c r="X35" s="41">
        <f t="shared" si="0"/>
        <v>309.21268507289187</v>
      </c>
      <c r="Y35" s="41">
        <f t="shared" si="1"/>
        <v>125.13412722239205</v>
      </c>
      <c r="Z35" s="41">
        <f t="shared" si="2"/>
        <v>1.2513412722239206</v>
      </c>
      <c r="AA35" s="42">
        <f t="shared" si="3"/>
        <v>0.48314536788820017</v>
      </c>
    </row>
    <row r="36" spans="1:27" ht="14.25" customHeight="1" thickBot="1" x14ac:dyDescent="0.3">
      <c r="A36" s="23" t="s">
        <v>79</v>
      </c>
      <c r="B36" s="7">
        <f>2*($B$3*TAN((B21/2)/1000))*100</f>
        <v>4.0000000533333342</v>
      </c>
      <c r="C36" s="69" t="s">
        <v>58</v>
      </c>
      <c r="D36" s="21" t="s">
        <v>82</v>
      </c>
      <c r="F36" s="178">
        <f>J49</f>
        <v>18</v>
      </c>
      <c r="G36" s="179">
        <f>$F$31/60*F36*(1-$L$35)*(1-$L$37)</f>
        <v>150.41714859375048</v>
      </c>
      <c r="H36" s="179">
        <f>$F$32/60*F36*(1-$L$35)*(1-$L$37)</f>
        <v>60.871754352906869</v>
      </c>
      <c r="I36" s="179">
        <f>$F$29/60*F36*(1-$L$35)*(1-$L$37)</f>
        <v>0.60871754352906859</v>
      </c>
      <c r="J36" s="180">
        <f>$F$30/60*F36*(1-$L$35)*(1-$L$37)</f>
        <v>0.23502706099166046</v>
      </c>
      <c r="K36" s="263" t="s">
        <v>187</v>
      </c>
      <c r="L36" s="245"/>
      <c r="M36" s="160" t="s">
        <v>189</v>
      </c>
      <c r="W36" s="46">
        <v>30</v>
      </c>
      <c r="X36" s="41">
        <f t="shared" si="0"/>
        <v>371.05522208747027</v>
      </c>
      <c r="Y36" s="41">
        <f t="shared" si="1"/>
        <v>150.16095266687046</v>
      </c>
      <c r="Z36" s="41">
        <f t="shared" si="2"/>
        <v>1.5016095266687046</v>
      </c>
      <c r="AA36" s="42">
        <f t="shared" si="3"/>
        <v>0.57977444146584023</v>
      </c>
    </row>
    <row r="37" spans="1:27" ht="14.25" customHeight="1" thickBot="1" x14ac:dyDescent="0.3">
      <c r="A37" s="74" t="s">
        <v>20</v>
      </c>
      <c r="B37" s="75"/>
      <c r="C37" s="75"/>
      <c r="D37" s="76"/>
      <c r="F37" s="191">
        <v>5</v>
      </c>
      <c r="G37" s="170">
        <f t="shared" ref="G37:G46" si="4">$F$31/60*F37*(1-$L$35)*(1-$L$37)</f>
        <v>41.782541276041805</v>
      </c>
      <c r="H37" s="170">
        <f t="shared" ref="H37:H46" si="5">$F$32/60*F37*(1-$L$35)*(1-$L$37)</f>
        <v>16.908820653585241</v>
      </c>
      <c r="I37" s="170">
        <f t="shared" ref="I37:I46" si="6">$F$29/60*F37*(1-$L$35)*(1-$L$37)</f>
        <v>0.16908820653585238</v>
      </c>
      <c r="J37" s="171">
        <f t="shared" ref="J37:J46" si="7">$F$30/60*F37*(1-$L$35)*(1-$L$37)</f>
        <v>6.5285294719905684E-2</v>
      </c>
      <c r="K37" s="194" t="s">
        <v>188</v>
      </c>
      <c r="L37" s="177">
        <f>J58*M37</f>
        <v>0.32437213456827863</v>
      </c>
      <c r="M37">
        <v>1</v>
      </c>
      <c r="W37" s="46">
        <v>45</v>
      </c>
      <c r="X37" s="41">
        <f t="shared" si="0"/>
        <v>556.58283313120535</v>
      </c>
      <c r="Y37" s="41">
        <f t="shared" si="1"/>
        <v>225.24142900030571</v>
      </c>
      <c r="Z37" s="41">
        <f t="shared" si="2"/>
        <v>2.2524142900030566</v>
      </c>
      <c r="AA37" s="42">
        <f t="shared" si="3"/>
        <v>0.86966166219876029</v>
      </c>
    </row>
    <row r="38" spans="1:27" ht="15.75" customHeight="1" x14ac:dyDescent="0.25">
      <c r="A38" s="15" t="s">
        <v>11</v>
      </c>
      <c r="B38" s="7">
        <f>$B$18/$B$22</f>
        <v>2000</v>
      </c>
      <c r="C38" s="6" t="s">
        <v>30</v>
      </c>
      <c r="D38" s="13" t="s">
        <v>25</v>
      </c>
      <c r="F38" s="192">
        <v>10</v>
      </c>
      <c r="G38" s="161">
        <f t="shared" si="4"/>
        <v>83.565082552083609</v>
      </c>
      <c r="H38" s="161">
        <f t="shared" si="5"/>
        <v>33.817641307170483</v>
      </c>
      <c r="I38" s="161">
        <f t="shared" si="6"/>
        <v>0.33817641307170476</v>
      </c>
      <c r="J38" s="165">
        <f t="shared" si="7"/>
        <v>0.13057058943981137</v>
      </c>
      <c r="W38" s="55">
        <v>60</v>
      </c>
      <c r="X38" s="56">
        <f t="shared" si="0"/>
        <v>742.11044417494054</v>
      </c>
      <c r="Y38" s="56">
        <f t="shared" si="1"/>
        <v>300.32190533374092</v>
      </c>
      <c r="Z38" s="56">
        <f t="shared" si="2"/>
        <v>3.0032190533374092</v>
      </c>
      <c r="AA38" s="57">
        <f t="shared" si="3"/>
        <v>1.1595488829316805</v>
      </c>
    </row>
    <row r="39" spans="1:27" x14ac:dyDescent="0.25">
      <c r="A39" s="15" t="s">
        <v>12</v>
      </c>
      <c r="B39" s="7">
        <f>$B$27/$B$23*$B$38</f>
        <v>2000</v>
      </c>
      <c r="C39" s="6" t="s">
        <v>30</v>
      </c>
      <c r="D39" s="13" t="s">
        <v>264</v>
      </c>
      <c r="F39" s="192">
        <v>15</v>
      </c>
      <c r="G39" s="161">
        <f t="shared" si="4"/>
        <v>125.34762382812542</v>
      </c>
      <c r="H39" s="161">
        <f t="shared" si="5"/>
        <v>50.726461960755721</v>
      </c>
      <c r="I39" s="161">
        <f t="shared" si="6"/>
        <v>0.5072646196075572</v>
      </c>
      <c r="J39" s="165">
        <f t="shared" si="7"/>
        <v>0.19585588415971705</v>
      </c>
      <c r="W39" s="46">
        <v>75</v>
      </c>
      <c r="X39" s="41">
        <f t="shared" si="0"/>
        <v>927.63805521867562</v>
      </c>
      <c r="Y39" s="41">
        <f t="shared" si="1"/>
        <v>375.40238166717614</v>
      </c>
      <c r="Z39" s="41">
        <f t="shared" si="2"/>
        <v>3.7540238166717614</v>
      </c>
      <c r="AA39" s="42">
        <f t="shared" si="3"/>
        <v>1.4494361036646006</v>
      </c>
    </row>
    <row r="40" spans="1:27" ht="18" thickBot="1" x14ac:dyDescent="0.3">
      <c r="A40" s="15" t="s">
        <v>21</v>
      </c>
      <c r="B40" s="7">
        <f>$B$39*1000/$B$31</f>
        <v>1678.19926235456</v>
      </c>
      <c r="C40" s="8" t="s">
        <v>54</v>
      </c>
      <c r="D40" s="13" t="s">
        <v>22</v>
      </c>
      <c r="F40" s="192">
        <v>20</v>
      </c>
      <c r="G40" s="161">
        <f t="shared" si="4"/>
        <v>167.13016510416722</v>
      </c>
      <c r="H40" s="161">
        <f t="shared" si="5"/>
        <v>67.635282614340966</v>
      </c>
      <c r="I40" s="161">
        <f t="shared" si="6"/>
        <v>0.67635282614340952</v>
      </c>
      <c r="J40" s="165">
        <f t="shared" si="7"/>
        <v>0.26114117887962274</v>
      </c>
      <c r="W40" s="50">
        <v>90</v>
      </c>
      <c r="X40" s="44">
        <f t="shared" si="0"/>
        <v>1113.1656662624107</v>
      </c>
      <c r="Y40" s="44">
        <f t="shared" si="1"/>
        <v>450.48285800061143</v>
      </c>
      <c r="Z40" s="44">
        <f t="shared" si="2"/>
        <v>4.5048285800061132</v>
      </c>
      <c r="AA40" s="45">
        <f t="shared" si="3"/>
        <v>1.7393233243975206</v>
      </c>
    </row>
    <row r="41" spans="1:27" x14ac:dyDescent="0.25">
      <c r="A41" s="15" t="s">
        <v>56</v>
      </c>
      <c r="B41" s="32">
        <f>($B$23*$B$19)/($B$38*1000)</f>
        <v>0.02</v>
      </c>
      <c r="C41" s="8" t="s">
        <v>57</v>
      </c>
      <c r="D41" s="13" t="s">
        <v>263</v>
      </c>
      <c r="F41" s="192">
        <v>25</v>
      </c>
      <c r="G41" s="161">
        <f t="shared" si="4"/>
        <v>208.91270638020904</v>
      </c>
      <c r="H41" s="161">
        <f t="shared" si="5"/>
        <v>84.544103267926204</v>
      </c>
      <c r="I41" s="161">
        <f t="shared" si="6"/>
        <v>0.84544103267926207</v>
      </c>
      <c r="J41" s="165">
        <f t="shared" si="7"/>
        <v>0.32642647359952842</v>
      </c>
    </row>
    <row r="42" spans="1:27" x14ac:dyDescent="0.25">
      <c r="A42" s="15" t="s">
        <v>13</v>
      </c>
      <c r="B42" s="7">
        <f>$B$25*TAN(($B$41)*PI()/180)*100</f>
        <v>3.4906586457640514</v>
      </c>
      <c r="C42" s="9" t="s">
        <v>58</v>
      </c>
      <c r="D42" s="33" t="s">
        <v>59</v>
      </c>
      <c r="F42" s="192">
        <v>30</v>
      </c>
      <c r="G42" s="161">
        <f t="shared" si="4"/>
        <v>250.69524765625084</v>
      </c>
      <c r="H42" s="161">
        <f t="shared" si="5"/>
        <v>101.45292392151144</v>
      </c>
      <c r="I42" s="161">
        <f t="shared" si="6"/>
        <v>1.0145292392151144</v>
      </c>
      <c r="J42" s="165">
        <f t="shared" si="7"/>
        <v>0.39171176831943411</v>
      </c>
    </row>
    <row r="43" spans="1:27" ht="15" customHeight="1" thickBot="1" x14ac:dyDescent="0.3">
      <c r="A43" s="15" t="s">
        <v>14</v>
      </c>
      <c r="B43" s="7">
        <f>$B$26/$B$19*100</f>
        <v>1.25</v>
      </c>
      <c r="C43" s="9" t="s">
        <v>58</v>
      </c>
      <c r="D43" s="13" t="s">
        <v>5</v>
      </c>
      <c r="F43" s="193">
        <v>45</v>
      </c>
      <c r="G43" s="174">
        <f t="shared" si="4"/>
        <v>376.04287148437624</v>
      </c>
      <c r="H43" s="174">
        <f t="shared" si="5"/>
        <v>152.17938588226718</v>
      </c>
      <c r="I43" s="174">
        <f t="shared" si="6"/>
        <v>1.5217938588226714</v>
      </c>
      <c r="J43" s="175">
        <f t="shared" si="7"/>
        <v>0.5875676524791511</v>
      </c>
    </row>
    <row r="44" spans="1:27" ht="15" customHeight="1" thickBot="1" x14ac:dyDescent="0.3">
      <c r="A44" s="15" t="s">
        <v>9</v>
      </c>
      <c r="B44" s="7">
        <f>$B$26/$B$19/$B$22*100</f>
        <v>1.25</v>
      </c>
      <c r="C44" s="9" t="s">
        <v>58</v>
      </c>
      <c r="D44" s="13" t="s">
        <v>17</v>
      </c>
      <c r="F44" s="178">
        <v>60</v>
      </c>
      <c r="G44" s="179">
        <f t="shared" si="4"/>
        <v>501.39049531250168</v>
      </c>
      <c r="H44" s="179">
        <f t="shared" si="5"/>
        <v>202.90584784302288</v>
      </c>
      <c r="I44" s="179">
        <f t="shared" si="6"/>
        <v>2.0290584784302288</v>
      </c>
      <c r="J44" s="180">
        <f t="shared" si="7"/>
        <v>0.78342353663886821</v>
      </c>
    </row>
    <row r="45" spans="1:27" x14ac:dyDescent="0.25">
      <c r="A45" s="17" t="s">
        <v>16</v>
      </c>
      <c r="B45" s="10">
        <f>2*$B$25*TAN((3.2/2)*PI()/180)</f>
        <v>5.5865058393174989</v>
      </c>
      <c r="C45" s="8" t="s">
        <v>33</v>
      </c>
      <c r="D45" s="13" t="s">
        <v>28</v>
      </c>
      <c r="F45" s="169">
        <v>75</v>
      </c>
      <c r="G45" s="170">
        <f t="shared" si="4"/>
        <v>626.73811914062708</v>
      </c>
      <c r="H45" s="170">
        <f t="shared" si="5"/>
        <v>253.63230980377858</v>
      </c>
      <c r="I45" s="170">
        <f t="shared" si="6"/>
        <v>2.5363230980377858</v>
      </c>
      <c r="J45" s="171">
        <f t="shared" si="7"/>
        <v>0.97927942079858532</v>
      </c>
    </row>
    <row r="46" spans="1:27" ht="15.75" thickBot="1" x14ac:dyDescent="0.3">
      <c r="A46" s="17" t="s">
        <v>18</v>
      </c>
      <c r="B46" s="11">
        <f>$B$45/($B$43/100)</f>
        <v>446.92046714539987</v>
      </c>
      <c r="C46" s="9" t="s">
        <v>47</v>
      </c>
      <c r="D46" s="13" t="s">
        <v>26</v>
      </c>
      <c r="F46" s="166">
        <v>90</v>
      </c>
      <c r="G46" s="167">
        <f t="shared" si="4"/>
        <v>752.08574296875247</v>
      </c>
      <c r="H46" s="167">
        <f t="shared" si="5"/>
        <v>304.35877176453437</v>
      </c>
      <c r="I46" s="167">
        <f t="shared" si="6"/>
        <v>3.0435877176453427</v>
      </c>
      <c r="J46" s="168">
        <f t="shared" si="7"/>
        <v>1.1751353049583022</v>
      </c>
    </row>
    <row r="47" spans="1:27" ht="15.75" thickBot="1" x14ac:dyDescent="0.3">
      <c r="A47" s="18" t="s">
        <v>19</v>
      </c>
      <c r="B47" s="19">
        <f>B46/B19</f>
        <v>1.1173011678634996</v>
      </c>
      <c r="C47" s="20" t="s">
        <v>46</v>
      </c>
      <c r="D47" s="21" t="s">
        <v>27</v>
      </c>
    </row>
    <row r="48" spans="1:27" ht="15.75" thickBot="1" x14ac:dyDescent="0.3">
      <c r="F48" s="243" t="s">
        <v>190</v>
      </c>
      <c r="G48" s="244"/>
      <c r="H48" s="244"/>
      <c r="I48" s="244"/>
      <c r="J48" s="245"/>
    </row>
    <row r="49" spans="6:10" x14ac:dyDescent="0.25">
      <c r="F49" s="246" t="s">
        <v>182</v>
      </c>
      <c r="G49" s="247"/>
      <c r="H49" s="247"/>
      <c r="I49" s="247"/>
      <c r="J49" s="181">
        <v>18</v>
      </c>
    </row>
    <row r="50" spans="6:10" x14ac:dyDescent="0.25">
      <c r="F50" s="236" t="s">
        <v>177</v>
      </c>
      <c r="G50" s="237"/>
      <c r="H50" s="237"/>
      <c r="I50" s="237"/>
      <c r="J50" s="182">
        <v>10</v>
      </c>
    </row>
    <row r="51" spans="6:10" x14ac:dyDescent="0.25">
      <c r="F51" s="236" t="s">
        <v>183</v>
      </c>
      <c r="G51" s="237"/>
      <c r="H51" s="237"/>
      <c r="I51" s="237"/>
      <c r="J51" s="182">
        <v>15</v>
      </c>
    </row>
    <row r="52" spans="6:10" x14ac:dyDescent="0.25">
      <c r="F52" s="236" t="s">
        <v>184</v>
      </c>
      <c r="G52" s="237"/>
      <c r="H52" s="237"/>
      <c r="I52" s="237"/>
      <c r="J52" s="182">
        <v>10</v>
      </c>
    </row>
    <row r="53" spans="6:10" x14ac:dyDescent="0.25">
      <c r="F53" s="236" t="s">
        <v>185</v>
      </c>
      <c r="G53" s="237"/>
      <c r="H53" s="237"/>
      <c r="I53" s="237"/>
      <c r="J53" s="182">
        <v>10</v>
      </c>
    </row>
    <row r="54" spans="6:10" x14ac:dyDescent="0.25">
      <c r="F54" s="236" t="s">
        <v>186</v>
      </c>
      <c r="G54" s="237"/>
      <c r="H54" s="237"/>
      <c r="I54" s="237"/>
      <c r="J54" s="182">
        <v>15</v>
      </c>
    </row>
    <row r="55" spans="6:10" x14ac:dyDescent="0.25">
      <c r="F55" s="238" t="s">
        <v>176</v>
      </c>
      <c r="G55" s="239"/>
      <c r="H55" s="239"/>
      <c r="I55" s="239"/>
      <c r="J55" s="183">
        <f>B10/B4</f>
        <v>33.369100592637878</v>
      </c>
    </row>
    <row r="56" spans="6:10" x14ac:dyDescent="0.25">
      <c r="F56" s="238" t="s">
        <v>178</v>
      </c>
      <c r="G56" s="239"/>
      <c r="H56" s="239"/>
      <c r="I56" s="239"/>
      <c r="J56" s="183">
        <f>J55*(J50-1)</f>
        <v>300.32190533374092</v>
      </c>
    </row>
    <row r="57" spans="6:10" x14ac:dyDescent="0.25">
      <c r="F57" s="238" t="s">
        <v>179</v>
      </c>
      <c r="G57" s="239"/>
      <c r="H57" s="239"/>
      <c r="I57" s="239"/>
      <c r="J57" s="183">
        <f>J51+J52+J53+J54+J56</f>
        <v>350.32190533374092</v>
      </c>
    </row>
    <row r="58" spans="6:10" x14ac:dyDescent="0.25">
      <c r="F58" s="238" t="s">
        <v>180</v>
      </c>
      <c r="G58" s="239"/>
      <c r="H58" s="239"/>
      <c r="I58" s="239"/>
      <c r="J58" s="184">
        <f>J57/(J49*60)</f>
        <v>0.32437213456827863</v>
      </c>
    </row>
    <row r="59" spans="6:10" ht="15.75" thickBot="1" x14ac:dyDescent="0.3">
      <c r="F59" s="234" t="s">
        <v>181</v>
      </c>
      <c r="G59" s="235"/>
      <c r="H59" s="235"/>
      <c r="I59" s="235"/>
      <c r="J59" s="185">
        <f>1-J58</f>
        <v>0.67562786543172137</v>
      </c>
    </row>
  </sheetData>
  <mergeCells count="37">
    <mergeCell ref="F59:I59"/>
    <mergeCell ref="F48:J48"/>
    <mergeCell ref="F49:I49"/>
    <mergeCell ref="F50:I50"/>
    <mergeCell ref="F51:I51"/>
    <mergeCell ref="F52:I52"/>
    <mergeCell ref="F53:I53"/>
    <mergeCell ref="F54:I54"/>
    <mergeCell ref="F55:I55"/>
    <mergeCell ref="F56:I56"/>
    <mergeCell ref="F57:I57"/>
    <mergeCell ref="F58:I58"/>
    <mergeCell ref="AB30:AC30"/>
    <mergeCell ref="G31:H31"/>
    <mergeCell ref="G32:H32"/>
    <mergeCell ref="F34:J34"/>
    <mergeCell ref="K34:L34"/>
    <mergeCell ref="W30:AA30"/>
    <mergeCell ref="K36:L36"/>
    <mergeCell ref="G26:H26"/>
    <mergeCell ref="G27:H27"/>
    <mergeCell ref="G28:H28"/>
    <mergeCell ref="G29:H29"/>
    <mergeCell ref="G30:H30"/>
    <mergeCell ref="F25:H25"/>
    <mergeCell ref="X25:Y25"/>
    <mergeCell ref="A1:D1"/>
    <mergeCell ref="F9:J9"/>
    <mergeCell ref="F13:J13"/>
    <mergeCell ref="W17:Y17"/>
    <mergeCell ref="F18:J18"/>
    <mergeCell ref="F20:G20"/>
    <mergeCell ref="F21:G21"/>
    <mergeCell ref="X21:Y21"/>
    <mergeCell ref="F22:G22"/>
    <mergeCell ref="X22:Y22"/>
    <mergeCell ref="X24:Y24"/>
  </mergeCells>
  <pageMargins left="0.7" right="0.7" top="0.75" bottom="0.75" header="0.3" footer="0.3"/>
  <pageSetup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29E0F7-A847-4466-B264-4CADCA0F6DFD}">
  <sheetPr>
    <tabColor rgb="FF7030A0"/>
  </sheetPr>
  <dimension ref="A1:O23"/>
  <sheetViews>
    <sheetView workbookViewId="0">
      <selection activeCell="I19" sqref="I19"/>
    </sheetView>
  </sheetViews>
  <sheetFormatPr defaultRowHeight="15" x14ac:dyDescent="0.25"/>
  <cols>
    <col min="1" max="1" width="21.5703125" bestFit="1" customWidth="1"/>
    <col min="2" max="2" width="27.5703125" customWidth="1"/>
    <col min="3" max="4" width="18.140625" customWidth="1"/>
    <col min="7" max="7" width="9.28515625" bestFit="1" customWidth="1"/>
    <col min="8" max="9" width="18.42578125" customWidth="1"/>
    <col min="10" max="10" width="18.7109375" customWidth="1"/>
    <col min="11" max="11" width="18" customWidth="1"/>
    <col min="13" max="13" width="18.140625" bestFit="1" customWidth="1"/>
  </cols>
  <sheetData>
    <row r="1" spans="1:15" x14ac:dyDescent="0.25">
      <c r="A1" s="197"/>
      <c r="B1" s="197"/>
      <c r="C1" s="271" t="s">
        <v>236</v>
      </c>
      <c r="D1" s="271"/>
      <c r="E1" s="271" t="s">
        <v>237</v>
      </c>
      <c r="F1" s="271"/>
      <c r="G1" s="271"/>
      <c r="M1" s="197" t="s">
        <v>240</v>
      </c>
      <c r="N1" s="199">
        <v>100</v>
      </c>
    </row>
    <row r="2" spans="1:15" x14ac:dyDescent="0.25">
      <c r="A2" s="131" t="s">
        <v>234</v>
      </c>
      <c r="B2" s="131" t="s">
        <v>235</v>
      </c>
      <c r="C2" s="131" t="s">
        <v>107</v>
      </c>
      <c r="D2" s="131" t="s">
        <v>108</v>
      </c>
      <c r="E2" s="131" t="s">
        <v>238</v>
      </c>
      <c r="F2" s="131" t="s">
        <v>239</v>
      </c>
      <c r="G2" s="131" t="s">
        <v>249</v>
      </c>
      <c r="H2" s="131" t="s">
        <v>247</v>
      </c>
      <c r="I2" s="131" t="s">
        <v>248</v>
      </c>
      <c r="J2" s="131" t="s">
        <v>250</v>
      </c>
      <c r="M2" s="131" t="s">
        <v>251</v>
      </c>
      <c r="N2" s="203">
        <v>1.0092524886754008</v>
      </c>
      <c r="O2" t="s">
        <v>77</v>
      </c>
    </row>
    <row r="3" spans="1:15" x14ac:dyDescent="0.25">
      <c r="A3" t="s">
        <v>255</v>
      </c>
      <c r="B3" s="1" t="s">
        <v>256</v>
      </c>
      <c r="C3" s="1">
        <v>3</v>
      </c>
      <c r="D3" s="1">
        <v>1.5</v>
      </c>
      <c r="E3" s="198">
        <f t="shared" ref="E3:F8" si="0">C3*$N$1/10</f>
        <v>30</v>
      </c>
      <c r="F3" s="198">
        <f t="shared" si="0"/>
        <v>15</v>
      </c>
      <c r="H3" s="198">
        <f t="shared" ref="H3:H8" si="1">E3*F3</f>
        <v>450</v>
      </c>
      <c r="I3" s="198"/>
      <c r="J3" s="195">
        <f t="shared" ref="J3:J8" si="2">H3/$N$4</f>
        <v>5.6249998061252198</v>
      </c>
      <c r="M3" s="197" t="s">
        <v>253</v>
      </c>
      <c r="N3" s="203">
        <f>N2*N1/10</f>
        <v>10.09252488675401</v>
      </c>
      <c r="O3" t="s">
        <v>58</v>
      </c>
    </row>
    <row r="4" spans="1:15" x14ac:dyDescent="0.25">
      <c r="A4" t="s">
        <v>241</v>
      </c>
      <c r="B4" s="1" t="s">
        <v>259</v>
      </c>
      <c r="C4" s="198">
        <v>1.52</v>
      </c>
      <c r="D4" s="198">
        <v>2.29</v>
      </c>
      <c r="E4" s="198">
        <f t="shared" si="0"/>
        <v>15.2</v>
      </c>
      <c r="F4" s="198">
        <f t="shared" si="0"/>
        <v>22.9</v>
      </c>
      <c r="H4" s="198">
        <f t="shared" si="1"/>
        <v>348.08</v>
      </c>
      <c r="I4" s="198"/>
      <c r="J4" s="195">
        <f t="shared" si="2"/>
        <v>4.350999850035703</v>
      </c>
      <c r="M4" s="197" t="s">
        <v>252</v>
      </c>
      <c r="N4" s="202">
        <f>3.141596*(N3/2)^2</f>
        <v>80.000002757330307</v>
      </c>
      <c r="O4" t="s">
        <v>254</v>
      </c>
    </row>
    <row r="5" spans="1:15" x14ac:dyDescent="0.25">
      <c r="A5" t="s">
        <v>242</v>
      </c>
      <c r="B5" s="1">
        <v>515</v>
      </c>
      <c r="C5" s="198">
        <v>1.52</v>
      </c>
      <c r="D5" s="198">
        <v>2.29</v>
      </c>
      <c r="E5" s="198">
        <f t="shared" si="0"/>
        <v>15.2</v>
      </c>
      <c r="F5" s="198">
        <f t="shared" si="0"/>
        <v>22.9</v>
      </c>
      <c r="H5" s="198">
        <f t="shared" si="1"/>
        <v>348.08</v>
      </c>
      <c r="I5" s="198"/>
      <c r="J5" s="195">
        <f t="shared" si="2"/>
        <v>4.350999850035703</v>
      </c>
    </row>
    <row r="6" spans="1:15" x14ac:dyDescent="0.25">
      <c r="A6" t="s">
        <v>243</v>
      </c>
      <c r="B6" s="1">
        <v>410</v>
      </c>
      <c r="C6" s="198">
        <v>4.2</v>
      </c>
      <c r="D6" s="198">
        <v>0.6</v>
      </c>
      <c r="E6" s="198">
        <f t="shared" si="0"/>
        <v>42</v>
      </c>
      <c r="F6" s="198">
        <f t="shared" si="0"/>
        <v>6</v>
      </c>
      <c r="H6" s="198">
        <f t="shared" si="1"/>
        <v>252</v>
      </c>
      <c r="I6" s="198"/>
      <c r="J6" s="195">
        <f t="shared" si="2"/>
        <v>3.1499998914301228</v>
      </c>
    </row>
    <row r="7" spans="1:15" x14ac:dyDescent="0.25">
      <c r="A7" t="s">
        <v>257</v>
      </c>
      <c r="B7" s="1" t="s">
        <v>258</v>
      </c>
      <c r="C7" s="1">
        <v>4.9000000000000004</v>
      </c>
      <c r="D7" s="1">
        <v>0.5</v>
      </c>
      <c r="E7" s="198">
        <f t="shared" si="0"/>
        <v>49.000000000000007</v>
      </c>
      <c r="F7" s="198">
        <f t="shared" si="0"/>
        <v>5</v>
      </c>
      <c r="H7" s="198">
        <f t="shared" si="1"/>
        <v>245.00000000000003</v>
      </c>
      <c r="I7" s="198"/>
      <c r="J7" s="195">
        <f t="shared" si="2"/>
        <v>3.0624998944459532</v>
      </c>
    </row>
    <row r="8" spans="1:15" x14ac:dyDescent="0.25">
      <c r="A8" s="199" t="s">
        <v>244</v>
      </c>
      <c r="B8" s="200" t="s">
        <v>175</v>
      </c>
      <c r="C8" s="201">
        <v>1.6</v>
      </c>
      <c r="D8" s="201">
        <v>0.5</v>
      </c>
      <c r="E8" s="201">
        <f t="shared" si="0"/>
        <v>16</v>
      </c>
      <c r="F8" s="201">
        <f t="shared" si="0"/>
        <v>5</v>
      </c>
      <c r="G8" s="199"/>
      <c r="H8" s="201">
        <f t="shared" si="1"/>
        <v>80</v>
      </c>
      <c r="I8" s="201"/>
      <c r="J8" s="202">
        <f t="shared" si="2"/>
        <v>0.99999996553337234</v>
      </c>
    </row>
    <row r="9" spans="1:15" x14ac:dyDescent="0.25">
      <c r="A9" t="s">
        <v>245</v>
      </c>
      <c r="B9" s="1">
        <v>680</v>
      </c>
      <c r="C9" s="198">
        <v>0.5</v>
      </c>
      <c r="D9" s="198"/>
      <c r="F9" s="198"/>
      <c r="G9" s="198">
        <f>C9*$N$1/10</f>
        <v>5</v>
      </c>
      <c r="H9" s="198"/>
      <c r="I9" s="198">
        <f>3.141596*(G9/2)^2</f>
        <v>19.634974999999997</v>
      </c>
      <c r="J9" s="195">
        <f>I9/$N$4</f>
        <v>0.2454371790406078</v>
      </c>
    </row>
    <row r="10" spans="1:15" x14ac:dyDescent="0.25">
      <c r="A10" t="s">
        <v>246</v>
      </c>
      <c r="B10" s="1">
        <v>720</v>
      </c>
      <c r="C10" s="198">
        <v>0.4</v>
      </c>
      <c r="D10" s="198"/>
      <c r="F10" s="198"/>
      <c r="G10" s="198">
        <f>C10*$N$1/10</f>
        <v>4</v>
      </c>
      <c r="H10" s="198"/>
      <c r="I10" s="198">
        <f>3.141596*(G10/2)^2</f>
        <v>12.566383999999999</v>
      </c>
      <c r="J10" s="195">
        <f>I10/$N$4</f>
        <v>0.157079794585989</v>
      </c>
    </row>
    <row r="11" spans="1:15" x14ac:dyDescent="0.25">
      <c r="C11" s="1"/>
      <c r="D11" s="1"/>
      <c r="E11" s="1"/>
      <c r="F11" s="1"/>
      <c r="G11" s="1"/>
      <c r="H11" s="1"/>
    </row>
    <row r="12" spans="1:15" x14ac:dyDescent="0.25">
      <c r="C12" s="1"/>
      <c r="D12" s="1"/>
      <c r="E12" s="1"/>
      <c r="F12" s="1"/>
      <c r="G12" s="1"/>
      <c r="H12" s="1"/>
    </row>
    <row r="13" spans="1:15" x14ac:dyDescent="0.25">
      <c r="C13" s="1"/>
      <c r="D13" s="1"/>
      <c r="E13" s="1"/>
      <c r="F13" s="1"/>
      <c r="G13" s="1"/>
      <c r="H13" s="1"/>
    </row>
    <row r="14" spans="1:15" x14ac:dyDescent="0.25">
      <c r="C14" s="1"/>
      <c r="D14" s="1"/>
      <c r="E14" s="1"/>
      <c r="F14" s="1"/>
      <c r="G14" s="1"/>
      <c r="H14" s="1"/>
    </row>
    <row r="15" spans="1:15" x14ac:dyDescent="0.25">
      <c r="C15" s="1"/>
      <c r="D15" s="1"/>
      <c r="E15" s="1"/>
      <c r="F15" s="1"/>
      <c r="G15" s="1"/>
      <c r="H15" s="1"/>
    </row>
    <row r="16" spans="1:15" x14ac:dyDescent="0.25">
      <c r="C16" s="1"/>
      <c r="D16" s="1"/>
      <c r="E16" s="1"/>
      <c r="F16" s="1"/>
      <c r="G16" s="1"/>
      <c r="H16" s="1"/>
    </row>
    <row r="17" spans="3:8" x14ac:dyDescent="0.25">
      <c r="C17" s="1"/>
      <c r="D17" s="1"/>
      <c r="E17" s="1"/>
      <c r="F17" s="1"/>
      <c r="G17" s="1"/>
      <c r="H17" s="1"/>
    </row>
    <row r="18" spans="3:8" x14ac:dyDescent="0.25">
      <c r="C18" s="1"/>
      <c r="D18" s="1"/>
      <c r="E18" s="1"/>
      <c r="F18" s="1"/>
      <c r="G18" s="1"/>
      <c r="H18" s="1"/>
    </row>
    <row r="19" spans="3:8" x14ac:dyDescent="0.25">
      <c r="C19" s="1"/>
      <c r="D19" s="1"/>
      <c r="E19" s="1"/>
      <c r="F19" s="1"/>
      <c r="G19" s="1"/>
      <c r="H19" s="1"/>
    </row>
    <row r="20" spans="3:8" x14ac:dyDescent="0.25">
      <c r="C20" s="1"/>
      <c r="D20" s="1"/>
      <c r="E20" s="1"/>
      <c r="F20" s="1"/>
      <c r="G20" s="1"/>
      <c r="H20" s="1"/>
    </row>
    <row r="21" spans="3:8" x14ac:dyDescent="0.25">
      <c r="C21" s="1"/>
      <c r="D21" s="1"/>
      <c r="E21" s="1"/>
      <c r="F21" s="1"/>
      <c r="G21" s="1"/>
      <c r="H21" s="1"/>
    </row>
    <row r="22" spans="3:8" x14ac:dyDescent="0.25">
      <c r="C22" s="1"/>
      <c r="D22" s="1"/>
      <c r="E22" s="1"/>
      <c r="F22" s="1"/>
      <c r="G22" s="1"/>
      <c r="H22" s="1"/>
    </row>
    <row r="23" spans="3:8" x14ac:dyDescent="0.25">
      <c r="C23" s="1"/>
      <c r="D23" s="1"/>
      <c r="E23" s="1"/>
      <c r="F23" s="1"/>
      <c r="G23" s="1"/>
      <c r="H23" s="1"/>
    </row>
  </sheetData>
  <sortState xmlns:xlrd2="http://schemas.microsoft.com/office/spreadsheetml/2017/richdata2" ref="A3:J10">
    <sortCondition descending="1" ref="H3:H10"/>
  </sortState>
  <mergeCells count="2">
    <mergeCell ref="C1:D1"/>
    <mergeCell ref="E1:G1"/>
  </mergeCells>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2BB4C4-CAAF-4207-BC68-B591A854741E}">
  <sheetPr>
    <tabColor rgb="FF0070C0"/>
  </sheetPr>
  <dimension ref="A5:S38"/>
  <sheetViews>
    <sheetView workbookViewId="0">
      <selection activeCell="R6" sqref="R6"/>
    </sheetView>
  </sheetViews>
  <sheetFormatPr defaultRowHeight="15" x14ac:dyDescent="0.25"/>
  <sheetData>
    <row r="5" spans="17:19" x14ac:dyDescent="0.25">
      <c r="Q5" s="34" t="s">
        <v>61</v>
      </c>
      <c r="R5" s="35" t="s">
        <v>195</v>
      </c>
      <c r="S5" s="36">
        <v>44396</v>
      </c>
    </row>
    <row r="25" spans="1:9" x14ac:dyDescent="0.25">
      <c r="A25" t="s">
        <v>123</v>
      </c>
      <c r="B25" t="s">
        <v>121</v>
      </c>
      <c r="G25" s="98">
        <v>66.781480067421157</v>
      </c>
    </row>
    <row r="26" spans="1:9" x14ac:dyDescent="0.25">
      <c r="B26" t="s">
        <v>122</v>
      </c>
      <c r="G26" s="94">
        <v>35</v>
      </c>
    </row>
    <row r="28" spans="1:9" x14ac:dyDescent="0.25">
      <c r="A28" t="s">
        <v>124</v>
      </c>
    </row>
    <row r="29" spans="1:9" x14ac:dyDescent="0.25">
      <c r="B29" t="s">
        <v>125</v>
      </c>
      <c r="G29" s="94">
        <v>52.5</v>
      </c>
    </row>
    <row r="30" spans="1:9" x14ac:dyDescent="0.25">
      <c r="B30" t="s">
        <v>127</v>
      </c>
      <c r="G30" s="95">
        <f>(G25-G29)*TAN((G26)*PI()/180)</f>
        <v>10.000000000000007</v>
      </c>
      <c r="I30" t="s">
        <v>129</v>
      </c>
    </row>
    <row r="32" spans="1:9" x14ac:dyDescent="0.25">
      <c r="B32" t="s">
        <v>126</v>
      </c>
      <c r="G32" s="94">
        <v>10</v>
      </c>
    </row>
    <row r="33" spans="2:9" x14ac:dyDescent="0.25">
      <c r="B33" t="s">
        <v>128</v>
      </c>
      <c r="G33" s="96">
        <f>G25-(G32/TAN((G26*PI()/180)))</f>
        <v>52.500000000000014</v>
      </c>
      <c r="I33" t="s">
        <v>130</v>
      </c>
    </row>
    <row r="35" spans="2:9" x14ac:dyDescent="0.25">
      <c r="B35" t="s">
        <v>131</v>
      </c>
      <c r="G35" s="97">
        <f>2*G25*TAN(G26*PI()/180)</f>
        <v>93.521791512019533</v>
      </c>
    </row>
    <row r="37" spans="2:9" x14ac:dyDescent="0.25">
      <c r="B37" t="s">
        <v>132</v>
      </c>
      <c r="G37" s="41">
        <f>G32/(SIN(G26*PI()/180))</f>
        <v>17.43446795621098</v>
      </c>
    </row>
    <row r="38" spans="2:9" x14ac:dyDescent="0.25">
      <c r="B38" t="s">
        <v>133</v>
      </c>
      <c r="G38" s="41">
        <f>(G35/2)/SIN(G26*PI()/180)</f>
        <v>81.525133866187431</v>
      </c>
    </row>
  </sheetData>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D3C815-6AD4-49A9-AE9C-878504C12E11}">
  <sheetPr>
    <tabColor rgb="FF00B0F0"/>
  </sheetPr>
  <dimension ref="A3:M12"/>
  <sheetViews>
    <sheetView workbookViewId="0">
      <selection activeCell="E19" sqref="E19"/>
    </sheetView>
  </sheetViews>
  <sheetFormatPr defaultRowHeight="15" x14ac:dyDescent="0.25"/>
  <cols>
    <col min="11" max="11" width="23.28515625" customWidth="1"/>
  </cols>
  <sheetData>
    <row r="3" spans="1:13" x14ac:dyDescent="0.25">
      <c r="A3" s="102">
        <v>1</v>
      </c>
      <c r="B3" t="s">
        <v>150</v>
      </c>
      <c r="C3" s="1" t="s">
        <v>151</v>
      </c>
      <c r="D3">
        <f>A3*M4</f>
        <v>3.28084</v>
      </c>
      <c r="E3" t="s">
        <v>152</v>
      </c>
      <c r="K3" t="s">
        <v>146</v>
      </c>
      <c r="M3">
        <v>0.30480000000000002</v>
      </c>
    </row>
    <row r="4" spans="1:13" x14ac:dyDescent="0.25">
      <c r="A4" s="102">
        <v>1</v>
      </c>
      <c r="B4" t="s">
        <v>153</v>
      </c>
      <c r="C4" s="1" t="s">
        <v>151</v>
      </c>
      <c r="D4">
        <f>A4*M3</f>
        <v>0.30480000000000002</v>
      </c>
      <c r="E4" t="s">
        <v>150</v>
      </c>
      <c r="K4" t="s">
        <v>147</v>
      </c>
      <c r="M4">
        <v>3.28084</v>
      </c>
    </row>
    <row r="5" spans="1:13" x14ac:dyDescent="0.25">
      <c r="A5" s="102">
        <v>5</v>
      </c>
      <c r="B5" t="s">
        <v>32</v>
      </c>
      <c r="C5" s="1" t="s">
        <v>151</v>
      </c>
      <c r="D5">
        <f>A5*M6</f>
        <v>16.404199999999999</v>
      </c>
      <c r="E5" t="s">
        <v>154</v>
      </c>
      <c r="K5" t="s">
        <v>149</v>
      </c>
      <c r="M5">
        <v>0.30480000000000002</v>
      </c>
    </row>
    <row r="6" spans="1:13" x14ac:dyDescent="0.25">
      <c r="A6" s="102">
        <v>1</v>
      </c>
      <c r="B6" t="s">
        <v>154</v>
      </c>
      <c r="C6" s="1" t="s">
        <v>151</v>
      </c>
      <c r="D6">
        <f>A6*M5</f>
        <v>0.30480000000000002</v>
      </c>
      <c r="E6" t="s">
        <v>32</v>
      </c>
      <c r="K6" t="s">
        <v>148</v>
      </c>
      <c r="M6">
        <v>3.28084</v>
      </c>
    </row>
    <row r="7" spans="1:13" x14ac:dyDescent="0.25">
      <c r="A7" s="102">
        <v>5</v>
      </c>
      <c r="B7" t="s">
        <v>32</v>
      </c>
      <c r="C7" s="1" t="s">
        <v>151</v>
      </c>
      <c r="D7">
        <f>A7*M8</f>
        <v>18</v>
      </c>
      <c r="E7" t="s">
        <v>155</v>
      </c>
      <c r="K7" t="s">
        <v>157</v>
      </c>
      <c r="M7">
        <v>0.68181800000000004</v>
      </c>
    </row>
    <row r="8" spans="1:13" x14ac:dyDescent="0.25">
      <c r="A8" s="102">
        <v>1</v>
      </c>
      <c r="B8" t="s">
        <v>154</v>
      </c>
      <c r="C8" s="1" t="s">
        <v>151</v>
      </c>
      <c r="D8">
        <f>A8*M7</f>
        <v>0.68181800000000004</v>
      </c>
      <c r="E8" t="s">
        <v>156</v>
      </c>
      <c r="K8" t="s">
        <v>158</v>
      </c>
      <c r="M8">
        <v>3.6</v>
      </c>
    </row>
    <row r="9" spans="1:13" x14ac:dyDescent="0.25">
      <c r="A9" s="102">
        <v>1</v>
      </c>
      <c r="B9" t="s">
        <v>156</v>
      </c>
      <c r="C9" s="1" t="s">
        <v>151</v>
      </c>
      <c r="D9">
        <f>A9*M9</f>
        <v>1.60934</v>
      </c>
      <c r="E9" t="s">
        <v>155</v>
      </c>
      <c r="K9" t="s">
        <v>159</v>
      </c>
      <c r="M9">
        <v>1.60934</v>
      </c>
    </row>
    <row r="10" spans="1:13" x14ac:dyDescent="0.25">
      <c r="A10" s="102">
        <v>18</v>
      </c>
      <c r="B10" t="s">
        <v>155</v>
      </c>
      <c r="C10" s="1" t="s">
        <v>151</v>
      </c>
      <c r="D10">
        <f>A10*M10</f>
        <v>11.184678</v>
      </c>
      <c r="E10" t="s">
        <v>156</v>
      </c>
      <c r="K10" t="s">
        <v>160</v>
      </c>
      <c r="M10">
        <v>0.62137100000000001</v>
      </c>
    </row>
    <row r="11" spans="1:13" x14ac:dyDescent="0.25">
      <c r="C11" s="1"/>
    </row>
    <row r="12" spans="1:13" x14ac:dyDescent="0.25">
      <c r="C12" s="1"/>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6C0543-6B2F-443C-BAD9-A54B62C20434}">
  <sheetPr>
    <tabColor theme="7" tint="0.39997558519241921"/>
  </sheetPr>
  <dimension ref="A1:R21"/>
  <sheetViews>
    <sheetView workbookViewId="0">
      <selection activeCell="F31" sqref="F31"/>
    </sheetView>
  </sheetViews>
  <sheetFormatPr defaultRowHeight="15" x14ac:dyDescent="0.25"/>
  <cols>
    <col min="1" max="1" width="11.85546875" bestFit="1" customWidth="1"/>
    <col min="2" max="2" width="19" bestFit="1" customWidth="1"/>
    <col min="3" max="3" width="19.42578125" bestFit="1" customWidth="1"/>
    <col min="4" max="5" width="14.42578125" customWidth="1"/>
  </cols>
  <sheetData>
    <row r="1" spans="1:18" x14ac:dyDescent="0.25">
      <c r="A1" s="136"/>
      <c r="B1" s="135" t="s">
        <v>170</v>
      </c>
      <c r="C1" s="134" t="s">
        <v>169</v>
      </c>
      <c r="D1" s="133" t="s">
        <v>168</v>
      </c>
      <c r="E1" s="132" t="s">
        <v>167</v>
      </c>
      <c r="F1" s="131" t="s">
        <v>166</v>
      </c>
      <c r="H1" s="137" t="s">
        <v>171</v>
      </c>
      <c r="I1" s="138" t="s">
        <v>172</v>
      </c>
      <c r="Q1" s="137" t="s">
        <v>171</v>
      </c>
      <c r="R1" s="138" t="s">
        <v>173</v>
      </c>
    </row>
    <row r="2" spans="1:18" ht="15.75" thickBot="1" x14ac:dyDescent="0.3">
      <c r="A2" s="130" t="s">
        <v>164</v>
      </c>
      <c r="B2" s="129">
        <v>63.5</v>
      </c>
      <c r="C2" s="128">
        <v>44.9</v>
      </c>
      <c r="D2" s="127">
        <v>5000</v>
      </c>
      <c r="E2" s="126">
        <v>4000</v>
      </c>
      <c r="F2" s="1">
        <f>D2*E2/1000000</f>
        <v>20</v>
      </c>
    </row>
    <row r="3" spans="1:18" x14ac:dyDescent="0.25">
      <c r="A3" s="125">
        <v>2</v>
      </c>
      <c r="B3" s="124">
        <f>2*$A3*TAN(($B$2/2)*PI()/180)</f>
        <v>2.4752751068752263</v>
      </c>
      <c r="C3" s="124">
        <f t="shared" ref="C3:C18" si="0">2*$A3*TAN(($C$2/2)*PI()/180)</f>
        <v>1.6527661653524073</v>
      </c>
      <c r="D3" s="124">
        <f t="shared" ref="D3:D18" si="1">B3/$D$2*100</f>
        <v>4.9505502137504528E-2</v>
      </c>
      <c r="E3" s="123">
        <f t="shared" ref="E3:E18" si="2">C3/$D$2*100</f>
        <v>3.3055323307048148E-2</v>
      </c>
      <c r="F3" s="91">
        <f>A3/4500*100</f>
        <v>4.4444444444444446E-2</v>
      </c>
    </row>
    <row r="4" spans="1:18" x14ac:dyDescent="0.25">
      <c r="A4" s="122">
        <v>2.5</v>
      </c>
      <c r="B4" s="121">
        <f t="shared" ref="B4:B18" si="3">2*$A4*TAN(($B$2/2)*PI()/180)</f>
        <v>3.094093883594033</v>
      </c>
      <c r="C4" s="121">
        <f t="shared" si="0"/>
        <v>2.0659577066905093</v>
      </c>
      <c r="D4" s="121">
        <f t="shared" si="1"/>
        <v>6.1881877671880664E-2</v>
      </c>
      <c r="E4" s="120">
        <f t="shared" si="2"/>
        <v>4.1319154133810189E-2</v>
      </c>
      <c r="F4" s="91">
        <f t="shared" ref="F4:F18" si="4">A4/4500*100</f>
        <v>5.5555555555555552E-2</v>
      </c>
    </row>
    <row r="5" spans="1:18" x14ac:dyDescent="0.25">
      <c r="A5" s="122">
        <v>3</v>
      </c>
      <c r="B5" s="121">
        <f t="shared" si="3"/>
        <v>3.7129126603128393</v>
      </c>
      <c r="C5" s="121">
        <f t="shared" si="0"/>
        <v>2.479149248028611</v>
      </c>
      <c r="D5" s="121">
        <f t="shared" si="1"/>
        <v>7.4258253206256786E-2</v>
      </c>
      <c r="E5" s="120">
        <f t="shared" si="2"/>
        <v>4.9582984960572216E-2</v>
      </c>
      <c r="F5" s="91">
        <f t="shared" si="4"/>
        <v>6.6666666666666666E-2</v>
      </c>
    </row>
    <row r="6" spans="1:18" x14ac:dyDescent="0.25">
      <c r="A6" s="122">
        <v>4</v>
      </c>
      <c r="B6" s="121">
        <f t="shared" si="3"/>
        <v>4.9505502137504527</v>
      </c>
      <c r="C6" s="121">
        <f t="shared" si="0"/>
        <v>3.3055323307048146</v>
      </c>
      <c r="D6" s="121">
        <f t="shared" si="1"/>
        <v>9.9011004275009057E-2</v>
      </c>
      <c r="E6" s="120">
        <f t="shared" si="2"/>
        <v>6.6110646614096297E-2</v>
      </c>
      <c r="F6" s="91">
        <f t="shared" si="4"/>
        <v>8.8888888888888892E-2</v>
      </c>
    </row>
    <row r="7" spans="1:18" x14ac:dyDescent="0.25">
      <c r="A7" s="122">
        <v>5</v>
      </c>
      <c r="B7" s="121">
        <f t="shared" si="3"/>
        <v>6.1881877671880661</v>
      </c>
      <c r="C7" s="121">
        <f t="shared" si="0"/>
        <v>4.1319154133810185</v>
      </c>
      <c r="D7" s="121">
        <f t="shared" si="1"/>
        <v>0.12376375534376133</v>
      </c>
      <c r="E7" s="120">
        <f t="shared" si="2"/>
        <v>8.2638308267620378E-2</v>
      </c>
      <c r="F7" s="91">
        <f t="shared" si="4"/>
        <v>0.1111111111111111</v>
      </c>
    </row>
    <row r="8" spans="1:18" x14ac:dyDescent="0.25">
      <c r="A8" s="122">
        <v>10</v>
      </c>
      <c r="B8" s="121">
        <f t="shared" si="3"/>
        <v>12.376375534376132</v>
      </c>
      <c r="C8" s="121">
        <f t="shared" si="0"/>
        <v>8.2638308267620371</v>
      </c>
      <c r="D8" s="121">
        <f t="shared" si="1"/>
        <v>0.24752751068752266</v>
      </c>
      <c r="E8" s="120">
        <f t="shared" si="2"/>
        <v>0.16527661653524076</v>
      </c>
      <c r="F8" s="91">
        <f t="shared" si="4"/>
        <v>0.22222222222222221</v>
      </c>
    </row>
    <row r="9" spans="1:18" x14ac:dyDescent="0.25">
      <c r="A9" s="122">
        <v>20</v>
      </c>
      <c r="B9" s="121">
        <f t="shared" si="3"/>
        <v>24.752751068752264</v>
      </c>
      <c r="C9" s="121">
        <f t="shared" si="0"/>
        <v>16.527661653524074</v>
      </c>
      <c r="D9" s="121">
        <f t="shared" si="1"/>
        <v>0.49505502137504531</v>
      </c>
      <c r="E9" s="120">
        <f t="shared" si="2"/>
        <v>0.33055323307048151</v>
      </c>
      <c r="F9" s="91">
        <f t="shared" si="4"/>
        <v>0.44444444444444442</v>
      </c>
    </row>
    <row r="10" spans="1:18" x14ac:dyDescent="0.25">
      <c r="A10" s="122">
        <v>30</v>
      </c>
      <c r="B10" s="121">
        <f t="shared" si="3"/>
        <v>37.129126603128398</v>
      </c>
      <c r="C10" s="121">
        <f t="shared" si="0"/>
        <v>24.791492480286109</v>
      </c>
      <c r="D10" s="121">
        <f t="shared" si="1"/>
        <v>0.74258253206256797</v>
      </c>
      <c r="E10" s="120">
        <f t="shared" si="2"/>
        <v>0.49582984960572218</v>
      </c>
      <c r="F10" s="91">
        <f t="shared" si="4"/>
        <v>0.66666666666666674</v>
      </c>
    </row>
    <row r="11" spans="1:18" x14ac:dyDescent="0.25">
      <c r="A11" s="122">
        <v>40</v>
      </c>
      <c r="B11" s="121">
        <f t="shared" si="3"/>
        <v>49.505502137504529</v>
      </c>
      <c r="C11" s="121">
        <f t="shared" si="0"/>
        <v>33.055323307048148</v>
      </c>
      <c r="D11" s="121">
        <f t="shared" si="1"/>
        <v>0.99011004275009062</v>
      </c>
      <c r="E11" s="120">
        <f t="shared" si="2"/>
        <v>0.66110646614096302</v>
      </c>
      <c r="F11" s="91">
        <f t="shared" si="4"/>
        <v>0.88888888888888884</v>
      </c>
    </row>
    <row r="12" spans="1:18" x14ac:dyDescent="0.25">
      <c r="A12" s="122">
        <v>45</v>
      </c>
      <c r="B12" s="121">
        <f t="shared" si="3"/>
        <v>55.69368990469259</v>
      </c>
      <c r="C12" s="121">
        <f t="shared" si="0"/>
        <v>37.187238720429164</v>
      </c>
      <c r="D12" s="121">
        <f t="shared" si="1"/>
        <v>1.1138737980938518</v>
      </c>
      <c r="E12" s="120">
        <f t="shared" si="2"/>
        <v>0.74374477440858322</v>
      </c>
      <c r="F12" s="91">
        <f t="shared" si="4"/>
        <v>1</v>
      </c>
    </row>
    <row r="13" spans="1:18" x14ac:dyDescent="0.25">
      <c r="A13" s="122">
        <v>50</v>
      </c>
      <c r="B13" s="121">
        <f t="shared" si="3"/>
        <v>61.881877671880659</v>
      </c>
      <c r="C13" s="121">
        <f t="shared" si="0"/>
        <v>41.31915413381018</v>
      </c>
      <c r="D13" s="121">
        <f t="shared" si="1"/>
        <v>1.2376375534376132</v>
      </c>
      <c r="E13" s="120">
        <f t="shared" si="2"/>
        <v>0.82638308267620353</v>
      </c>
      <c r="F13" s="91">
        <f t="shared" si="4"/>
        <v>1.1111111111111112</v>
      </c>
    </row>
    <row r="14" spans="1:18" x14ac:dyDescent="0.25">
      <c r="A14" s="122">
        <v>55</v>
      </c>
      <c r="B14" s="121">
        <f t="shared" si="3"/>
        <v>68.070065439068728</v>
      </c>
      <c r="C14" s="121">
        <f t="shared" si="0"/>
        <v>45.451069547191203</v>
      </c>
      <c r="D14" s="121">
        <f t="shared" si="1"/>
        <v>1.3614013087813746</v>
      </c>
      <c r="E14" s="120">
        <f t="shared" si="2"/>
        <v>0.90902139094382395</v>
      </c>
      <c r="F14" s="91">
        <f t="shared" si="4"/>
        <v>1.2222222222222223</v>
      </c>
    </row>
    <row r="15" spans="1:18" x14ac:dyDescent="0.25">
      <c r="A15" s="122">
        <v>60</v>
      </c>
      <c r="B15" s="121">
        <f t="shared" si="3"/>
        <v>74.258253206256796</v>
      </c>
      <c r="C15" s="121">
        <f t="shared" si="0"/>
        <v>49.582984960572219</v>
      </c>
      <c r="D15" s="121">
        <f t="shared" si="1"/>
        <v>1.4851650641251359</v>
      </c>
      <c r="E15" s="120">
        <f t="shared" si="2"/>
        <v>0.99165969921144437</v>
      </c>
      <c r="F15" s="91">
        <f t="shared" si="4"/>
        <v>1.3333333333333335</v>
      </c>
    </row>
    <row r="16" spans="1:18" x14ac:dyDescent="0.25">
      <c r="A16" s="122">
        <v>65</v>
      </c>
      <c r="B16" s="121">
        <f t="shared" si="3"/>
        <v>80.446440973444851</v>
      </c>
      <c r="C16" s="121">
        <f t="shared" si="0"/>
        <v>53.714900373953235</v>
      </c>
      <c r="D16" s="121">
        <f t="shared" si="1"/>
        <v>1.6089288194688971</v>
      </c>
      <c r="E16" s="120">
        <f t="shared" si="2"/>
        <v>1.0742980074790647</v>
      </c>
      <c r="F16" s="91">
        <f t="shared" si="4"/>
        <v>1.4444444444444444</v>
      </c>
    </row>
    <row r="17" spans="1:14" x14ac:dyDescent="0.25">
      <c r="A17" s="122">
        <v>70</v>
      </c>
      <c r="B17" s="121">
        <f t="shared" si="3"/>
        <v>86.63462874063292</v>
      </c>
      <c r="C17" s="121">
        <f t="shared" si="0"/>
        <v>57.846815787334258</v>
      </c>
      <c r="D17" s="121">
        <f t="shared" si="1"/>
        <v>1.7326925748126585</v>
      </c>
      <c r="E17" s="120">
        <f t="shared" si="2"/>
        <v>1.1569363157466852</v>
      </c>
      <c r="F17" s="91">
        <f t="shared" si="4"/>
        <v>1.5555555555555556</v>
      </c>
    </row>
    <row r="18" spans="1:14" ht="15.75" thickBot="1" x14ac:dyDescent="0.3">
      <c r="A18" s="119">
        <v>75</v>
      </c>
      <c r="B18" s="118">
        <f t="shared" si="3"/>
        <v>92.822816507820988</v>
      </c>
      <c r="C18" s="118">
        <f t="shared" si="0"/>
        <v>61.978731200715274</v>
      </c>
      <c r="D18" s="118">
        <f t="shared" si="1"/>
        <v>1.8564563301564196</v>
      </c>
      <c r="E18" s="117">
        <f t="shared" si="2"/>
        <v>1.2395746240143053</v>
      </c>
      <c r="F18" s="91">
        <f t="shared" si="4"/>
        <v>1.6666666666666667</v>
      </c>
    </row>
    <row r="19" spans="1:14" x14ac:dyDescent="0.25">
      <c r="N19" s="116"/>
    </row>
    <row r="20" spans="1:14" x14ac:dyDescent="0.25">
      <c r="N20" s="116"/>
    </row>
    <row r="21" spans="1:14" x14ac:dyDescent="0.25">
      <c r="N21" s="115"/>
    </row>
  </sheetData>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EAFC4C-650B-4796-937E-4D678408DEFE}">
  <sheetPr>
    <tabColor rgb="FF00B050"/>
  </sheetPr>
  <dimension ref="A1:M93"/>
  <sheetViews>
    <sheetView workbookViewId="0">
      <selection activeCell="B4" sqref="B4"/>
    </sheetView>
  </sheetViews>
  <sheetFormatPr defaultRowHeight="15" x14ac:dyDescent="0.25"/>
  <cols>
    <col min="1" max="1" width="55.85546875" bestFit="1" customWidth="1"/>
    <col min="2" max="2" width="9.140625" style="1"/>
    <col min="3" max="3" width="10" style="1" bestFit="1" customWidth="1"/>
    <col min="4" max="4" width="77.5703125" bestFit="1" customWidth="1"/>
    <col min="6" max="6" width="11.42578125" customWidth="1"/>
    <col min="7" max="7" width="13.7109375" customWidth="1"/>
    <col min="10" max="10" width="9.5703125" bestFit="1" customWidth="1"/>
  </cols>
  <sheetData>
    <row r="1" spans="1:13" ht="19.5" thickBot="1" x14ac:dyDescent="0.35">
      <c r="A1" s="257" t="s">
        <v>191</v>
      </c>
      <c r="B1" s="258"/>
      <c r="C1" s="258"/>
      <c r="D1" s="259"/>
    </row>
    <row r="2" spans="1:13" ht="15.75" thickBot="1" x14ac:dyDescent="0.3">
      <c r="A2" s="79" t="s">
        <v>94</v>
      </c>
      <c r="B2" s="64" t="s">
        <v>0</v>
      </c>
      <c r="C2" s="80" t="s">
        <v>29</v>
      </c>
      <c r="D2" s="81" t="s">
        <v>1</v>
      </c>
      <c r="K2" s="34" t="s">
        <v>61</v>
      </c>
      <c r="L2" s="35" t="s">
        <v>231</v>
      </c>
      <c r="M2" s="36">
        <v>44841</v>
      </c>
    </row>
    <row r="3" spans="1:13" x14ac:dyDescent="0.25">
      <c r="A3" s="65" t="s">
        <v>134</v>
      </c>
      <c r="B3" s="66">
        <v>100</v>
      </c>
      <c r="C3" s="67" t="s">
        <v>33</v>
      </c>
      <c r="D3" s="68" t="s">
        <v>192</v>
      </c>
    </row>
    <row r="4" spans="1:13" x14ac:dyDescent="0.25">
      <c r="A4" s="12" t="s">
        <v>135</v>
      </c>
      <c r="B4" s="58">
        <v>5</v>
      </c>
      <c r="C4" s="2" t="s">
        <v>32</v>
      </c>
      <c r="D4" s="13" t="s">
        <v>51</v>
      </c>
    </row>
    <row r="5" spans="1:13" x14ac:dyDescent="0.25">
      <c r="A5" s="12" t="s">
        <v>136</v>
      </c>
      <c r="B5" s="58">
        <v>90</v>
      </c>
      <c r="C5" s="2" t="s">
        <v>34</v>
      </c>
      <c r="D5" s="13" t="s">
        <v>52</v>
      </c>
    </row>
    <row r="6" spans="1:13" x14ac:dyDescent="0.25">
      <c r="A6" s="12" t="s">
        <v>139</v>
      </c>
      <c r="B6" s="99">
        <v>0.35</v>
      </c>
      <c r="C6" s="2" t="s">
        <v>137</v>
      </c>
      <c r="D6" s="13" t="s">
        <v>138</v>
      </c>
    </row>
    <row r="7" spans="1:13" x14ac:dyDescent="0.25">
      <c r="A7" s="14" t="s">
        <v>140</v>
      </c>
      <c r="B7" s="100">
        <f>2*$B$22*TAN(($B$24/2)*PI()/180)</f>
        <v>199.99999999999997</v>
      </c>
      <c r="C7" s="2" t="s">
        <v>33</v>
      </c>
      <c r="D7" s="13"/>
    </row>
    <row r="8" spans="1:13" x14ac:dyDescent="0.25">
      <c r="A8" s="14" t="s">
        <v>144</v>
      </c>
      <c r="B8" s="101">
        <f>B7*(1-B6)</f>
        <v>130</v>
      </c>
      <c r="C8" s="2" t="s">
        <v>33</v>
      </c>
      <c r="D8" s="13"/>
    </row>
    <row r="9" spans="1:13" ht="15.75" customHeight="1" x14ac:dyDescent="0.25">
      <c r="A9" s="14" t="s">
        <v>142</v>
      </c>
      <c r="B9" s="4">
        <f>$B$29</f>
        <v>160.00000000000003</v>
      </c>
      <c r="C9" s="3" t="s">
        <v>60</v>
      </c>
      <c r="D9" s="13" t="s">
        <v>8</v>
      </c>
    </row>
    <row r="10" spans="1:13" ht="15.75" customHeight="1" x14ac:dyDescent="0.25">
      <c r="A10" s="14" t="s">
        <v>143</v>
      </c>
      <c r="B10" s="4">
        <f>B9*2</f>
        <v>320.00000000000006</v>
      </c>
      <c r="C10" s="3" t="s">
        <v>60</v>
      </c>
      <c r="D10" s="13" t="s">
        <v>8</v>
      </c>
    </row>
    <row r="11" spans="1:13" x14ac:dyDescent="0.25">
      <c r="A11" s="14" t="s">
        <v>48</v>
      </c>
      <c r="B11" s="4">
        <f>$B$30</f>
        <v>31.416029890561564</v>
      </c>
      <c r="C11" s="3" t="s">
        <v>58</v>
      </c>
      <c r="D11" s="13" t="s">
        <v>141</v>
      </c>
    </row>
    <row r="12" spans="1:13" x14ac:dyDescent="0.25">
      <c r="A12" s="14" t="s">
        <v>49</v>
      </c>
      <c r="B12" s="4">
        <f>$B$31</f>
        <v>1.5625</v>
      </c>
      <c r="C12" s="3" t="s">
        <v>58</v>
      </c>
      <c r="D12" s="13" t="s">
        <v>141</v>
      </c>
    </row>
    <row r="13" spans="1:13" x14ac:dyDescent="0.25">
      <c r="A13" s="14" t="s">
        <v>85</v>
      </c>
      <c r="B13" s="4">
        <f>B32</f>
        <v>15.200002926507345</v>
      </c>
      <c r="C13" s="3" t="s">
        <v>58</v>
      </c>
      <c r="D13" s="13" t="s">
        <v>87</v>
      </c>
    </row>
    <row r="14" spans="1:13" ht="15.75" thickBot="1" x14ac:dyDescent="0.3">
      <c r="A14" s="22" t="s">
        <v>86</v>
      </c>
      <c r="B14" s="77">
        <f>B33</f>
        <v>22.900010007496078</v>
      </c>
      <c r="C14" s="78" t="s">
        <v>58</v>
      </c>
      <c r="D14" s="70" t="s">
        <v>87</v>
      </c>
    </row>
    <row r="15" spans="1:13" ht="15.75" thickBot="1" x14ac:dyDescent="0.3">
      <c r="A15" s="29" t="s">
        <v>92</v>
      </c>
      <c r="B15" s="30" t="s">
        <v>0</v>
      </c>
      <c r="C15" s="30" t="s">
        <v>29</v>
      </c>
      <c r="D15" s="31" t="s">
        <v>1</v>
      </c>
    </row>
    <row r="16" spans="1:13" x14ac:dyDescent="0.25">
      <c r="A16" s="24" t="s">
        <v>35</v>
      </c>
      <c r="B16" s="9">
        <v>640</v>
      </c>
      <c r="C16" s="6" t="s">
        <v>30</v>
      </c>
      <c r="D16" s="16" t="s">
        <v>89</v>
      </c>
    </row>
    <row r="17" spans="1:13" ht="14.25" customHeight="1" thickBot="1" x14ac:dyDescent="0.3">
      <c r="A17" s="24" t="s">
        <v>37</v>
      </c>
      <c r="B17" s="186">
        <v>10</v>
      </c>
      <c r="C17" s="6" t="s">
        <v>31</v>
      </c>
      <c r="D17" s="13" t="s">
        <v>193</v>
      </c>
    </row>
    <row r="18" spans="1:13" ht="16.5" customHeight="1" thickBot="1" x14ac:dyDescent="0.3">
      <c r="A18" s="24" t="s">
        <v>83</v>
      </c>
      <c r="B18" s="6">
        <v>1.52</v>
      </c>
      <c r="C18" s="6" t="s">
        <v>77</v>
      </c>
      <c r="D18" s="13" t="s">
        <v>80</v>
      </c>
      <c r="F18" s="260" t="s">
        <v>98</v>
      </c>
      <c r="G18" s="255"/>
      <c r="H18" s="256"/>
    </row>
    <row r="19" spans="1:13" ht="15" customHeight="1" x14ac:dyDescent="0.25">
      <c r="A19" s="24" t="s">
        <v>84</v>
      </c>
      <c r="B19" s="6">
        <v>2.29</v>
      </c>
      <c r="C19" s="6" t="s">
        <v>77</v>
      </c>
      <c r="D19" s="13" t="s">
        <v>80</v>
      </c>
      <c r="F19" s="39">
        <f>$B$28</f>
        <v>999.99999999999989</v>
      </c>
      <c r="G19" s="261" t="s">
        <v>68</v>
      </c>
      <c r="H19" s="262"/>
    </row>
    <row r="20" spans="1:13" ht="15.75" customHeight="1" thickBot="1" x14ac:dyDescent="0.3">
      <c r="A20" s="25" t="s">
        <v>10</v>
      </c>
      <c r="B20" s="26">
        <v>32</v>
      </c>
      <c r="C20" s="28" t="s">
        <v>47</v>
      </c>
      <c r="D20" s="27" t="s">
        <v>96</v>
      </c>
      <c r="F20" s="39">
        <f>F19*60</f>
        <v>59999.999999999993</v>
      </c>
      <c r="G20" s="248" t="s">
        <v>62</v>
      </c>
      <c r="H20" s="249"/>
    </row>
    <row r="21" spans="1:13" ht="18" thickBot="1" x14ac:dyDescent="0.3">
      <c r="A21" s="29" t="s">
        <v>93</v>
      </c>
      <c r="B21" s="30" t="s">
        <v>0</v>
      </c>
      <c r="C21" s="30" t="s">
        <v>29</v>
      </c>
      <c r="D21" s="31" t="s">
        <v>1</v>
      </c>
      <c r="F21" s="59">
        <f>F20/1000000</f>
        <v>5.9999999999999991E-2</v>
      </c>
      <c r="G21" s="248" t="s">
        <v>63</v>
      </c>
      <c r="H21" s="249"/>
    </row>
    <row r="22" spans="1:13" ht="17.25" x14ac:dyDescent="0.25">
      <c r="A22" s="71" t="s">
        <v>38</v>
      </c>
      <c r="B22" s="72">
        <f>$B$3</f>
        <v>100</v>
      </c>
      <c r="C22" s="73" t="s">
        <v>33</v>
      </c>
      <c r="D22" s="16" t="s">
        <v>97</v>
      </c>
      <c r="F22" s="37">
        <f>F21*60</f>
        <v>3.5999999999999996</v>
      </c>
      <c r="G22" s="248" t="s">
        <v>64</v>
      </c>
      <c r="H22" s="249"/>
    </row>
    <row r="23" spans="1:13" ht="17.25" x14ac:dyDescent="0.25">
      <c r="A23" s="15" t="s">
        <v>3</v>
      </c>
      <c r="B23" s="5">
        <f>$B$4</f>
        <v>5</v>
      </c>
      <c r="C23" s="6" t="s">
        <v>32</v>
      </c>
      <c r="D23" s="16" t="s">
        <v>97</v>
      </c>
      <c r="F23" s="37">
        <f>F22*0.386102</f>
        <v>1.3899671999999998</v>
      </c>
      <c r="G23" s="248" t="s">
        <v>65</v>
      </c>
      <c r="H23" s="249"/>
    </row>
    <row r="24" spans="1:13" x14ac:dyDescent="0.25">
      <c r="A24" s="15" t="s">
        <v>36</v>
      </c>
      <c r="B24" s="5">
        <f>$B$5</f>
        <v>90</v>
      </c>
      <c r="C24" s="6" t="s">
        <v>34</v>
      </c>
      <c r="D24" s="16" t="s">
        <v>97</v>
      </c>
      <c r="F24" s="39">
        <f>F22*247.105</f>
        <v>889.57799999999986</v>
      </c>
      <c r="G24" s="248" t="s">
        <v>66</v>
      </c>
      <c r="H24" s="249"/>
    </row>
    <row r="25" spans="1:13" ht="15.75" thickBot="1" x14ac:dyDescent="0.3">
      <c r="A25" s="15" t="s">
        <v>39</v>
      </c>
      <c r="B25" s="7">
        <f>$B$24/360*$B$16</f>
        <v>160</v>
      </c>
      <c r="C25" s="6" t="s">
        <v>30</v>
      </c>
      <c r="D25" s="13" t="s">
        <v>6</v>
      </c>
      <c r="F25" s="82">
        <f>F22*100</f>
        <v>359.99999999999994</v>
      </c>
      <c r="G25" s="250" t="s">
        <v>67</v>
      </c>
      <c r="H25" s="251"/>
    </row>
    <row r="26" spans="1:13" ht="15.75" thickBot="1" x14ac:dyDescent="0.3">
      <c r="A26" s="15" t="s">
        <v>40</v>
      </c>
      <c r="B26" s="7">
        <f>2*$B$22*TAN(($B$24/2)*PI()/180)</f>
        <v>199.99999999999997</v>
      </c>
      <c r="C26" s="6" t="s">
        <v>33</v>
      </c>
      <c r="D26" s="13" t="s">
        <v>7</v>
      </c>
    </row>
    <row r="27" spans="1:13" ht="15.75" thickBot="1" x14ac:dyDescent="0.3">
      <c r="A27" s="15" t="s">
        <v>41</v>
      </c>
      <c r="B27" s="5">
        <f>$B$23</f>
        <v>5</v>
      </c>
      <c r="C27" s="6" t="s">
        <v>33</v>
      </c>
      <c r="D27" s="13" t="s">
        <v>3</v>
      </c>
      <c r="F27" s="252" t="s">
        <v>72</v>
      </c>
      <c r="G27" s="253"/>
      <c r="H27" s="253"/>
      <c r="I27" s="253"/>
      <c r="J27" s="254"/>
      <c r="K27" s="255" t="s">
        <v>75</v>
      </c>
      <c r="L27" s="256"/>
      <c r="M27" s="160" t="s">
        <v>189</v>
      </c>
    </row>
    <row r="28" spans="1:13" ht="18" thickBot="1" x14ac:dyDescent="0.3">
      <c r="A28" s="15" t="s">
        <v>42</v>
      </c>
      <c r="B28" s="7">
        <f>$B$26*$B$27</f>
        <v>999.99999999999989</v>
      </c>
      <c r="C28" s="6" t="s">
        <v>53</v>
      </c>
      <c r="D28" s="13" t="s">
        <v>2</v>
      </c>
      <c r="F28" s="166" t="s">
        <v>69</v>
      </c>
      <c r="G28" s="69" t="s">
        <v>70</v>
      </c>
      <c r="H28" s="69" t="s">
        <v>71</v>
      </c>
      <c r="I28" s="69" t="s">
        <v>73</v>
      </c>
      <c r="J28" s="172" t="s">
        <v>74</v>
      </c>
      <c r="K28" s="162" t="s">
        <v>76</v>
      </c>
      <c r="L28" s="163">
        <f>B6*M28</f>
        <v>0.35</v>
      </c>
      <c r="M28">
        <v>1</v>
      </c>
    </row>
    <row r="29" spans="1:13" ht="16.5" customHeight="1" thickBot="1" x14ac:dyDescent="0.3">
      <c r="A29" s="15" t="s">
        <v>43</v>
      </c>
      <c r="B29" s="7">
        <f>$B$25*1000/$B$28</f>
        <v>160.00000000000003</v>
      </c>
      <c r="C29" s="6" t="s">
        <v>54</v>
      </c>
      <c r="D29" s="13" t="s">
        <v>4</v>
      </c>
      <c r="F29" s="178">
        <f>J42</f>
        <v>18</v>
      </c>
      <c r="G29" s="179">
        <f>$F$24/60*F29*(1-$L$28)*(1-$L$30)</f>
        <v>111.79030199999998</v>
      </c>
      <c r="H29" s="179">
        <f>$F$25/60*F29*(1-$L$28)*(1-$L$30)</f>
        <v>45.239999999999988</v>
      </c>
      <c r="I29" s="179">
        <f>$F$22/60*F29*(1-$L$28)*(1-$L$30)</f>
        <v>0.45239999999999991</v>
      </c>
      <c r="J29" s="180">
        <f>$F$23/60*F29*(1-$L$28)*(1-$L$30)</f>
        <v>0.17467254479999997</v>
      </c>
      <c r="K29" s="243" t="s">
        <v>187</v>
      </c>
      <c r="L29" s="245"/>
      <c r="M29" s="160" t="s">
        <v>189</v>
      </c>
    </row>
    <row r="30" spans="1:13" ht="15.75" thickBot="1" x14ac:dyDescent="0.3">
      <c r="A30" s="60" t="s">
        <v>44</v>
      </c>
      <c r="B30" s="61">
        <f>$B$39</f>
        <v>31.416029890561564</v>
      </c>
      <c r="C30" s="62" t="s">
        <v>58</v>
      </c>
      <c r="D30" s="63" t="s">
        <v>23</v>
      </c>
      <c r="F30" s="169">
        <v>5</v>
      </c>
      <c r="G30" s="170">
        <f t="shared" ref="G30:G39" si="0">$F$24/60*F30*(1-$L$28)*(1-$L$30)</f>
        <v>31.052861666666661</v>
      </c>
      <c r="H30" s="170">
        <f t="shared" ref="H30:H39" si="1">$F$25/60*F30*(1-$L$28)*(1-$L$30)</f>
        <v>12.566666666666665</v>
      </c>
      <c r="I30" s="170">
        <f t="shared" ref="I30:I39" si="2">$F$22/60*F30*(1-$L$28)*(1-$L$30)</f>
        <v>0.12566666666666662</v>
      </c>
      <c r="J30" s="171">
        <f t="shared" ref="J30:J39" si="3">$F$23/60*F30*(1-$L$28)*(1-$L$30)</f>
        <v>4.8520151333333324E-2</v>
      </c>
      <c r="K30" s="176" t="s">
        <v>188</v>
      </c>
      <c r="L30" s="177">
        <f>J51*M30</f>
        <v>0.35555555555555557</v>
      </c>
      <c r="M30">
        <v>1</v>
      </c>
    </row>
    <row r="31" spans="1:13" x14ac:dyDescent="0.25">
      <c r="A31" s="15" t="s">
        <v>45</v>
      </c>
      <c r="B31" s="7">
        <f>$B$41</f>
        <v>1.5625</v>
      </c>
      <c r="C31" s="6" t="s">
        <v>58</v>
      </c>
      <c r="D31" s="13" t="s">
        <v>24</v>
      </c>
      <c r="F31" s="164">
        <v>10</v>
      </c>
      <c r="G31" s="161">
        <f t="shared" si="0"/>
        <v>62.105723333333323</v>
      </c>
      <c r="H31" s="161">
        <f t="shared" si="1"/>
        <v>25.133333333333329</v>
      </c>
      <c r="I31" s="161">
        <f t="shared" si="2"/>
        <v>0.25133333333333324</v>
      </c>
      <c r="J31" s="165">
        <f t="shared" si="3"/>
        <v>9.7040302666666647E-2</v>
      </c>
    </row>
    <row r="32" spans="1:13" x14ac:dyDescent="0.25">
      <c r="A32" s="15" t="s">
        <v>78</v>
      </c>
      <c r="B32" s="7">
        <f>2*($B$3*TAN((B18/2)/1000))*100</f>
        <v>15.200002926507345</v>
      </c>
      <c r="C32" s="6" t="s">
        <v>58</v>
      </c>
      <c r="D32" s="13" t="s">
        <v>81</v>
      </c>
      <c r="F32" s="164">
        <v>15</v>
      </c>
      <c r="G32" s="161">
        <f t="shared" si="0"/>
        <v>93.158584999999988</v>
      </c>
      <c r="H32" s="161">
        <f t="shared" si="1"/>
        <v>37.699999999999989</v>
      </c>
      <c r="I32" s="161">
        <f t="shared" si="2"/>
        <v>0.37699999999999995</v>
      </c>
      <c r="J32" s="165">
        <f t="shared" si="3"/>
        <v>0.14556045399999998</v>
      </c>
    </row>
    <row r="33" spans="1:10" ht="15.75" customHeight="1" thickBot="1" x14ac:dyDescent="0.3">
      <c r="A33" s="23" t="s">
        <v>79</v>
      </c>
      <c r="B33" s="7">
        <f>2*($B$3*TAN((B19/2)/1000))*100</f>
        <v>22.900010007496078</v>
      </c>
      <c r="C33" s="69" t="s">
        <v>58</v>
      </c>
      <c r="D33" s="21" t="s">
        <v>82</v>
      </c>
      <c r="F33" s="164">
        <v>20</v>
      </c>
      <c r="G33" s="161">
        <f t="shared" si="0"/>
        <v>124.21144666666665</v>
      </c>
      <c r="H33" s="161">
        <f t="shared" si="1"/>
        <v>50.266666666666659</v>
      </c>
      <c r="I33" s="161">
        <f t="shared" si="2"/>
        <v>0.50266666666666648</v>
      </c>
      <c r="J33" s="165">
        <f t="shared" si="3"/>
        <v>0.19408060533333329</v>
      </c>
    </row>
    <row r="34" spans="1:10" ht="14.25" customHeight="1" thickBot="1" x14ac:dyDescent="0.3">
      <c r="A34" s="240" t="s">
        <v>20</v>
      </c>
      <c r="B34" s="241"/>
      <c r="C34" s="241"/>
      <c r="D34" s="242"/>
      <c r="F34" s="164">
        <v>25</v>
      </c>
      <c r="G34" s="161">
        <f t="shared" si="0"/>
        <v>155.2643083333333</v>
      </c>
      <c r="H34" s="161">
        <f t="shared" si="1"/>
        <v>62.833333333333314</v>
      </c>
      <c r="I34" s="161">
        <f t="shared" si="2"/>
        <v>0.62833333333333319</v>
      </c>
      <c r="J34" s="165">
        <f t="shared" si="3"/>
        <v>0.24260075666666661</v>
      </c>
    </row>
    <row r="35" spans="1:10" ht="15" customHeight="1" x14ac:dyDescent="0.25">
      <c r="A35" s="15" t="s">
        <v>11</v>
      </c>
      <c r="B35" s="7">
        <f>$B$16/$B$20</f>
        <v>20</v>
      </c>
      <c r="C35" s="6" t="s">
        <v>30</v>
      </c>
      <c r="D35" s="13" t="s">
        <v>25</v>
      </c>
      <c r="F35" s="164">
        <v>30</v>
      </c>
      <c r="G35" s="161">
        <f t="shared" si="0"/>
        <v>186.31716999999998</v>
      </c>
      <c r="H35" s="161">
        <f t="shared" si="1"/>
        <v>75.399999999999977</v>
      </c>
      <c r="I35" s="161">
        <f t="shared" si="2"/>
        <v>0.75399999999999989</v>
      </c>
      <c r="J35" s="165">
        <f t="shared" si="3"/>
        <v>0.29112090799999996</v>
      </c>
    </row>
    <row r="36" spans="1:10" ht="14.25" customHeight="1" thickBot="1" x14ac:dyDescent="0.3">
      <c r="A36" s="15" t="s">
        <v>12</v>
      </c>
      <c r="B36" s="7">
        <f>$B$24/360*$B$35</f>
        <v>5</v>
      </c>
      <c r="C36" s="6" t="s">
        <v>30</v>
      </c>
      <c r="D36" s="13" t="s">
        <v>15</v>
      </c>
      <c r="F36" s="173">
        <v>45</v>
      </c>
      <c r="G36" s="174">
        <f t="shared" si="0"/>
        <v>279.47575499999994</v>
      </c>
      <c r="H36" s="174">
        <f t="shared" si="1"/>
        <v>113.09999999999997</v>
      </c>
      <c r="I36" s="174">
        <f>$F$22/60*F36*(1-$L$28)*(1-$L$30)</f>
        <v>1.1309999999999998</v>
      </c>
      <c r="J36" s="175">
        <f t="shared" si="3"/>
        <v>0.43668136199999991</v>
      </c>
    </row>
    <row r="37" spans="1:10" ht="14.25" customHeight="1" thickBot="1" x14ac:dyDescent="0.3">
      <c r="A37" s="15" t="s">
        <v>21</v>
      </c>
      <c r="B37" s="7">
        <f>$B$36*1000/$B$28</f>
        <v>5.0000000000000009</v>
      </c>
      <c r="C37" s="8" t="s">
        <v>54</v>
      </c>
      <c r="D37" s="13" t="s">
        <v>22</v>
      </c>
      <c r="F37" s="178">
        <v>60</v>
      </c>
      <c r="G37" s="179">
        <f t="shared" si="0"/>
        <v>372.63433999999995</v>
      </c>
      <c r="H37" s="179">
        <f t="shared" si="1"/>
        <v>150.79999999999995</v>
      </c>
      <c r="I37" s="179">
        <f t="shared" si="2"/>
        <v>1.5079999999999998</v>
      </c>
      <c r="J37" s="180">
        <f t="shared" si="3"/>
        <v>0.58224181599999991</v>
      </c>
    </row>
    <row r="38" spans="1:10" ht="14.25" customHeight="1" x14ac:dyDescent="0.25">
      <c r="A38" s="15" t="s">
        <v>56</v>
      </c>
      <c r="B38" s="32">
        <f>(360*$B$17)/($B$35*1000)</f>
        <v>0.18</v>
      </c>
      <c r="C38" s="8" t="s">
        <v>57</v>
      </c>
      <c r="D38" s="13" t="s">
        <v>55</v>
      </c>
      <c r="F38" s="169">
        <v>75</v>
      </c>
      <c r="G38" s="170">
        <f t="shared" si="0"/>
        <v>465.79292499999991</v>
      </c>
      <c r="H38" s="170">
        <f t="shared" si="1"/>
        <v>188.49999999999997</v>
      </c>
      <c r="I38" s="170">
        <f t="shared" si="2"/>
        <v>1.8849999999999993</v>
      </c>
      <c r="J38" s="171">
        <f t="shared" si="3"/>
        <v>0.72780226999999986</v>
      </c>
    </row>
    <row r="39" spans="1:10" ht="15.75" thickBot="1" x14ac:dyDescent="0.3">
      <c r="A39" s="15" t="s">
        <v>13</v>
      </c>
      <c r="B39" s="7">
        <f>$B$22*TAN(($B$38)*PI()/180)*100</f>
        <v>31.416029890561564</v>
      </c>
      <c r="C39" s="9" t="s">
        <v>58</v>
      </c>
      <c r="D39" s="33" t="s">
        <v>59</v>
      </c>
      <c r="F39" s="166">
        <v>90</v>
      </c>
      <c r="G39" s="167">
        <f t="shared" si="0"/>
        <v>558.95150999999987</v>
      </c>
      <c r="H39" s="167">
        <f t="shared" si="1"/>
        <v>226.19999999999993</v>
      </c>
      <c r="I39" s="167">
        <f t="shared" si="2"/>
        <v>2.2619999999999996</v>
      </c>
      <c r="J39" s="168">
        <f t="shared" si="3"/>
        <v>0.87336272399999981</v>
      </c>
    </row>
    <row r="40" spans="1:10" ht="15.75" thickBot="1" x14ac:dyDescent="0.3">
      <c r="A40" s="15" t="s">
        <v>14</v>
      </c>
      <c r="B40" s="7">
        <f>$B$23/$B$17*100</f>
        <v>50</v>
      </c>
      <c r="C40" s="9" t="s">
        <v>58</v>
      </c>
      <c r="D40" s="13" t="s">
        <v>5</v>
      </c>
    </row>
    <row r="41" spans="1:10" ht="15.75" thickBot="1" x14ac:dyDescent="0.3">
      <c r="A41" s="15" t="s">
        <v>9</v>
      </c>
      <c r="B41" s="7">
        <f>$B$23/$B$17/$B$20*100</f>
        <v>1.5625</v>
      </c>
      <c r="C41" s="9" t="s">
        <v>58</v>
      </c>
      <c r="D41" s="13" t="s">
        <v>17</v>
      </c>
      <c r="F41" s="243" t="s">
        <v>190</v>
      </c>
      <c r="G41" s="244"/>
      <c r="H41" s="244"/>
      <c r="I41" s="244"/>
      <c r="J41" s="245"/>
    </row>
    <row r="42" spans="1:10" x14ac:dyDescent="0.25">
      <c r="A42" s="17" t="s">
        <v>16</v>
      </c>
      <c r="B42" s="10">
        <f>2*$B$22*TAN((1/2)*PI()/180)</f>
        <v>1.7453735581517578</v>
      </c>
      <c r="C42" s="8" t="s">
        <v>33</v>
      </c>
      <c r="D42" s="13" t="s">
        <v>194</v>
      </c>
      <c r="F42" s="246" t="s">
        <v>182</v>
      </c>
      <c r="G42" s="247"/>
      <c r="H42" s="247"/>
      <c r="I42" s="247"/>
      <c r="J42" s="181">
        <v>18</v>
      </c>
    </row>
    <row r="43" spans="1:10" x14ac:dyDescent="0.25">
      <c r="A43" s="17" t="s">
        <v>18</v>
      </c>
      <c r="B43" s="11">
        <f>$B$42/($B$40/100)</f>
        <v>3.4907471163035155</v>
      </c>
      <c r="C43" s="9" t="s">
        <v>47</v>
      </c>
      <c r="D43" s="13" t="s">
        <v>26</v>
      </c>
      <c r="F43" s="236" t="s">
        <v>177</v>
      </c>
      <c r="G43" s="237"/>
      <c r="H43" s="237"/>
      <c r="I43" s="237"/>
      <c r="J43" s="182">
        <v>10</v>
      </c>
    </row>
    <row r="44" spans="1:10" ht="15" customHeight="1" thickBot="1" x14ac:dyDescent="0.3">
      <c r="A44" s="18" t="s">
        <v>19</v>
      </c>
      <c r="B44" s="19">
        <f>B43/B17</f>
        <v>0.34907471163035153</v>
      </c>
      <c r="C44" s="20" t="s">
        <v>46</v>
      </c>
      <c r="D44" s="21" t="s">
        <v>27</v>
      </c>
      <c r="F44" s="236" t="s">
        <v>183</v>
      </c>
      <c r="G44" s="237"/>
      <c r="H44" s="237"/>
      <c r="I44" s="237"/>
      <c r="J44" s="182">
        <v>15</v>
      </c>
    </row>
    <row r="45" spans="1:10" ht="15" customHeight="1" x14ac:dyDescent="0.25">
      <c r="F45" s="236" t="s">
        <v>184</v>
      </c>
      <c r="G45" s="237"/>
      <c r="H45" s="237"/>
      <c r="I45" s="237"/>
      <c r="J45" s="182">
        <v>60</v>
      </c>
    </row>
    <row r="46" spans="1:10" x14ac:dyDescent="0.25">
      <c r="F46" s="236" t="s">
        <v>185</v>
      </c>
      <c r="G46" s="237"/>
      <c r="H46" s="237"/>
      <c r="I46" s="237"/>
      <c r="J46" s="182">
        <v>60</v>
      </c>
    </row>
    <row r="47" spans="1:10" x14ac:dyDescent="0.25">
      <c r="F47" s="236" t="s">
        <v>186</v>
      </c>
      <c r="G47" s="237"/>
      <c r="H47" s="237"/>
      <c r="I47" s="237"/>
      <c r="J47" s="182">
        <v>15</v>
      </c>
    </row>
    <row r="48" spans="1:10" x14ac:dyDescent="0.25">
      <c r="F48" s="238" t="s">
        <v>176</v>
      </c>
      <c r="G48" s="239"/>
      <c r="H48" s="239"/>
      <c r="I48" s="239"/>
      <c r="J48" s="183">
        <f>B8/B4</f>
        <v>26</v>
      </c>
    </row>
    <row r="49" spans="6:12" x14ac:dyDescent="0.25">
      <c r="F49" s="238" t="s">
        <v>178</v>
      </c>
      <c r="G49" s="239"/>
      <c r="H49" s="239"/>
      <c r="I49" s="239"/>
      <c r="J49" s="183">
        <f>J48*(J43-1)</f>
        <v>234</v>
      </c>
    </row>
    <row r="50" spans="6:12" x14ac:dyDescent="0.25">
      <c r="F50" s="238" t="s">
        <v>179</v>
      </c>
      <c r="G50" s="239"/>
      <c r="H50" s="239"/>
      <c r="I50" s="239"/>
      <c r="J50" s="183">
        <f>J44+J45+J46+J47+J49</f>
        <v>384</v>
      </c>
    </row>
    <row r="51" spans="6:12" x14ac:dyDescent="0.25">
      <c r="F51" s="238" t="s">
        <v>180</v>
      </c>
      <c r="G51" s="239"/>
      <c r="H51" s="239"/>
      <c r="I51" s="239"/>
      <c r="J51" s="184">
        <f>J50/(J42*60)</f>
        <v>0.35555555555555557</v>
      </c>
    </row>
    <row r="52" spans="6:12" ht="15.75" thickBot="1" x14ac:dyDescent="0.3">
      <c r="F52" s="234" t="s">
        <v>181</v>
      </c>
      <c r="G52" s="235"/>
      <c r="H52" s="235"/>
      <c r="I52" s="235"/>
      <c r="J52" s="185">
        <f>1-J51</f>
        <v>0.64444444444444438</v>
      </c>
    </row>
    <row r="55" spans="6:12" x14ac:dyDescent="0.25">
      <c r="F55" t="s">
        <v>197</v>
      </c>
      <c r="J55" s="94">
        <v>5000</v>
      </c>
    </row>
    <row r="56" spans="6:12" x14ac:dyDescent="0.25">
      <c r="F56" t="s">
        <v>198</v>
      </c>
      <c r="J56" s="94">
        <v>2500</v>
      </c>
    </row>
    <row r="57" spans="6:12" x14ac:dyDescent="0.25">
      <c r="F57" t="s">
        <v>199</v>
      </c>
      <c r="J57" s="195">
        <f>B8</f>
        <v>130</v>
      </c>
    </row>
    <row r="58" spans="6:12" x14ac:dyDescent="0.25">
      <c r="F58" t="s">
        <v>229</v>
      </c>
      <c r="J58" s="195">
        <f>J55/J57</f>
        <v>38.46153846153846</v>
      </c>
    </row>
    <row r="59" spans="6:12" x14ac:dyDescent="0.25">
      <c r="F59" t="s">
        <v>230</v>
      </c>
      <c r="J59" s="195">
        <f>J56/J57</f>
        <v>19.23076923076923</v>
      </c>
    </row>
    <row r="60" spans="6:12" x14ac:dyDescent="0.25">
      <c r="F60" t="s">
        <v>200</v>
      </c>
      <c r="J60">
        <f>J55/B4</f>
        <v>1000</v>
      </c>
      <c r="K60" s="195">
        <f>J60/60</f>
        <v>16.666666666666668</v>
      </c>
    </row>
    <row r="61" spans="6:12" x14ac:dyDescent="0.25">
      <c r="F61" t="s">
        <v>201</v>
      </c>
      <c r="J61">
        <f>J56/B4</f>
        <v>500</v>
      </c>
      <c r="K61" s="195">
        <f>J61/60</f>
        <v>8.3333333333333339</v>
      </c>
    </row>
    <row r="62" spans="6:12" x14ac:dyDescent="0.25">
      <c r="F62" t="s">
        <v>207</v>
      </c>
      <c r="J62" s="195">
        <f>J60*J58</f>
        <v>38461.538461538461</v>
      </c>
      <c r="K62" s="195">
        <f>J62/60</f>
        <v>641.02564102564099</v>
      </c>
      <c r="L62" s="195">
        <f>K62/60</f>
        <v>10.683760683760683</v>
      </c>
    </row>
    <row r="63" spans="6:12" x14ac:dyDescent="0.25">
      <c r="F63" t="s">
        <v>208</v>
      </c>
      <c r="J63" s="195">
        <f>J61*J59</f>
        <v>9615.3846153846152</v>
      </c>
      <c r="K63" s="195">
        <f>J63/60</f>
        <v>160.25641025641025</v>
      </c>
      <c r="L63" s="195">
        <f>K63/60</f>
        <v>2.6709401709401708</v>
      </c>
    </row>
    <row r="65" spans="6:12" x14ac:dyDescent="0.25">
      <c r="F65" t="s">
        <v>202</v>
      </c>
      <c r="J65" s="195">
        <f>J57/B4</f>
        <v>26</v>
      </c>
    </row>
    <row r="66" spans="6:12" x14ac:dyDescent="0.25">
      <c r="F66" t="s">
        <v>203</v>
      </c>
      <c r="J66" s="196">
        <f>J58-1</f>
        <v>37.46153846153846</v>
      </c>
    </row>
    <row r="67" spans="6:12" x14ac:dyDescent="0.25">
      <c r="F67" t="s">
        <v>204</v>
      </c>
      <c r="J67" s="196">
        <f>J59-1</f>
        <v>18.23076923076923</v>
      </c>
    </row>
    <row r="68" spans="6:12" x14ac:dyDescent="0.25">
      <c r="F68" t="s">
        <v>205</v>
      </c>
      <c r="J68" s="195">
        <f>J65*J66</f>
        <v>974</v>
      </c>
      <c r="K68" s="195">
        <f>J68/60</f>
        <v>16.233333333333334</v>
      </c>
      <c r="L68" s="195">
        <f>K68/60</f>
        <v>0.27055555555555555</v>
      </c>
    </row>
    <row r="69" spans="6:12" x14ac:dyDescent="0.25">
      <c r="F69" t="s">
        <v>206</v>
      </c>
      <c r="J69" s="195">
        <f>J65*J67</f>
        <v>474</v>
      </c>
      <c r="K69" s="195">
        <f>J69/60</f>
        <v>7.9</v>
      </c>
      <c r="L69" s="195">
        <f>K69/60</f>
        <v>0.13166666666666668</v>
      </c>
    </row>
    <row r="71" spans="6:12" x14ac:dyDescent="0.25">
      <c r="F71" t="s">
        <v>209</v>
      </c>
      <c r="J71" s="94">
        <v>20</v>
      </c>
    </row>
    <row r="72" spans="6:12" x14ac:dyDescent="0.25">
      <c r="F72" t="s">
        <v>210</v>
      </c>
      <c r="J72" s="94">
        <v>500</v>
      </c>
    </row>
    <row r="73" spans="6:12" x14ac:dyDescent="0.25">
      <c r="F73" t="s">
        <v>211</v>
      </c>
      <c r="J73">
        <f>J55/J72</f>
        <v>10</v>
      </c>
    </row>
    <row r="74" spans="6:12" x14ac:dyDescent="0.25">
      <c r="F74" t="s">
        <v>212</v>
      </c>
      <c r="J74" s="195">
        <f>J73*J58</f>
        <v>384.61538461538458</v>
      </c>
    </row>
    <row r="75" spans="6:12" x14ac:dyDescent="0.25">
      <c r="F75" t="s">
        <v>215</v>
      </c>
      <c r="J75">
        <f>J56/J72</f>
        <v>5</v>
      </c>
    </row>
    <row r="76" spans="6:12" x14ac:dyDescent="0.25">
      <c r="F76" t="s">
        <v>216</v>
      </c>
      <c r="J76" s="195">
        <f>J75*J59</f>
        <v>96.153846153846146</v>
      </c>
    </row>
    <row r="77" spans="6:12" x14ac:dyDescent="0.25">
      <c r="F77" t="s">
        <v>213</v>
      </c>
      <c r="J77" s="195">
        <f>J74*J71</f>
        <v>7692.3076923076915</v>
      </c>
      <c r="K77" s="195">
        <f>J77/60</f>
        <v>128.2051282051282</v>
      </c>
      <c r="L77" s="195">
        <f>K77/60</f>
        <v>2.1367521367521367</v>
      </c>
    </row>
    <row r="78" spans="6:12" x14ac:dyDescent="0.25">
      <c r="F78" t="s">
        <v>214</v>
      </c>
      <c r="J78" s="195">
        <f>J76*J71</f>
        <v>1923.0769230769229</v>
      </c>
      <c r="K78" s="195">
        <f>J78/60</f>
        <v>32.051282051282051</v>
      </c>
      <c r="L78" s="195">
        <f>K78/60</f>
        <v>0.53418803418803418</v>
      </c>
    </row>
    <row r="80" spans="6:12" x14ac:dyDescent="0.25">
      <c r="F80" t="s">
        <v>217</v>
      </c>
      <c r="J80" s="195">
        <f>J62+J68+J77</f>
        <v>47127.846153846156</v>
      </c>
      <c r="K80" s="195">
        <f>J80/60</f>
        <v>785.46410256410263</v>
      </c>
      <c r="L80" s="195">
        <f>K80/60</f>
        <v>13.091068376068376</v>
      </c>
    </row>
    <row r="81" spans="6:12" x14ac:dyDescent="0.25">
      <c r="F81" t="s">
        <v>218</v>
      </c>
      <c r="J81" s="195">
        <f>J63+J69+J78</f>
        <v>12012.461538461539</v>
      </c>
      <c r="K81" s="195">
        <f>J81/60</f>
        <v>200.20769230769233</v>
      </c>
      <c r="L81" s="195">
        <f>K81/60</f>
        <v>3.3367948717948721</v>
      </c>
    </row>
    <row r="83" spans="6:12" x14ac:dyDescent="0.25">
      <c r="F83" t="s">
        <v>219</v>
      </c>
      <c r="J83" s="94">
        <v>20</v>
      </c>
    </row>
    <row r="84" spans="6:12" x14ac:dyDescent="0.25">
      <c r="F84" t="s">
        <v>220</v>
      </c>
      <c r="J84">
        <f>J83/K60</f>
        <v>1.2</v>
      </c>
    </row>
    <row r="85" spans="6:12" x14ac:dyDescent="0.25">
      <c r="F85" t="s">
        <v>221</v>
      </c>
      <c r="J85">
        <f>J83/K61</f>
        <v>2.4</v>
      </c>
    </row>
    <row r="86" spans="6:12" x14ac:dyDescent="0.25">
      <c r="F86" t="s">
        <v>222</v>
      </c>
      <c r="J86" s="195">
        <f>K80/J83</f>
        <v>39.273205128205134</v>
      </c>
    </row>
    <row r="87" spans="6:12" x14ac:dyDescent="0.25">
      <c r="F87" t="s">
        <v>223</v>
      </c>
      <c r="J87" s="195">
        <f>K81/J83</f>
        <v>10.010384615384616</v>
      </c>
    </row>
    <row r="88" spans="6:12" x14ac:dyDescent="0.25">
      <c r="F88" t="s">
        <v>224</v>
      </c>
      <c r="J88" s="195">
        <f>J58/J84</f>
        <v>32.051282051282051</v>
      </c>
    </row>
    <row r="89" spans="6:12" x14ac:dyDescent="0.25">
      <c r="F89" t="s">
        <v>225</v>
      </c>
      <c r="J89" s="195">
        <f>J59/J85</f>
        <v>8.0128205128205128</v>
      </c>
    </row>
    <row r="91" spans="6:12" x14ac:dyDescent="0.25">
      <c r="F91" t="s">
        <v>228</v>
      </c>
      <c r="J91" s="94">
        <v>2500</v>
      </c>
    </row>
    <row r="92" spans="6:12" x14ac:dyDescent="0.25">
      <c r="F92" t="s">
        <v>226</v>
      </c>
      <c r="J92">
        <f>J55/J91</f>
        <v>2</v>
      </c>
    </row>
    <row r="93" spans="6:12" x14ac:dyDescent="0.25">
      <c r="F93" t="s">
        <v>227</v>
      </c>
      <c r="J93">
        <f>J56/J91</f>
        <v>1</v>
      </c>
    </row>
  </sheetData>
  <mergeCells count="25">
    <mergeCell ref="K27:L27"/>
    <mergeCell ref="K29:L29"/>
    <mergeCell ref="A1:D1"/>
    <mergeCell ref="F18:H18"/>
    <mergeCell ref="G19:H19"/>
    <mergeCell ref="G20:H20"/>
    <mergeCell ref="G21:H21"/>
    <mergeCell ref="G22:H22"/>
    <mergeCell ref="F45:I45"/>
    <mergeCell ref="G23:H23"/>
    <mergeCell ref="G24:H24"/>
    <mergeCell ref="G25:H25"/>
    <mergeCell ref="F27:J27"/>
    <mergeCell ref="A34:D34"/>
    <mergeCell ref="F41:J41"/>
    <mergeCell ref="F42:I42"/>
    <mergeCell ref="F43:I43"/>
    <mergeCell ref="F44:I44"/>
    <mergeCell ref="F52:I52"/>
    <mergeCell ref="F46:I46"/>
    <mergeCell ref="F47:I47"/>
    <mergeCell ref="F48:I48"/>
    <mergeCell ref="F49:I49"/>
    <mergeCell ref="F50:I50"/>
    <mergeCell ref="F51:I51"/>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18A0F3-1609-464C-A984-D0E70AC66EDB}">
  <sheetPr>
    <tabColor rgb="FF00B050"/>
  </sheetPr>
  <dimension ref="A1:M93"/>
  <sheetViews>
    <sheetView workbookViewId="0">
      <selection activeCell="B21" sqref="B21"/>
    </sheetView>
  </sheetViews>
  <sheetFormatPr defaultRowHeight="15" x14ac:dyDescent="0.25"/>
  <cols>
    <col min="1" max="1" width="55.85546875" bestFit="1" customWidth="1"/>
    <col min="2" max="2" width="9.140625" style="1"/>
    <col min="3" max="3" width="10" style="1" bestFit="1" customWidth="1"/>
    <col min="4" max="4" width="77.5703125" bestFit="1" customWidth="1"/>
    <col min="6" max="6" width="11.42578125" customWidth="1"/>
    <col min="7" max="7" width="13.7109375" customWidth="1"/>
    <col min="10" max="10" width="9.5703125" bestFit="1" customWidth="1"/>
  </cols>
  <sheetData>
    <row r="1" spans="1:13" ht="19.5" thickBot="1" x14ac:dyDescent="0.35">
      <c r="A1" s="257" t="s">
        <v>191</v>
      </c>
      <c r="B1" s="258"/>
      <c r="C1" s="258"/>
      <c r="D1" s="259"/>
    </row>
    <row r="2" spans="1:13" ht="15.75" thickBot="1" x14ac:dyDescent="0.3">
      <c r="A2" s="79" t="s">
        <v>94</v>
      </c>
      <c r="B2" s="64" t="s">
        <v>0</v>
      </c>
      <c r="C2" s="80" t="s">
        <v>29</v>
      </c>
      <c r="D2" s="81" t="s">
        <v>1</v>
      </c>
      <c r="K2" s="34" t="s">
        <v>61</v>
      </c>
      <c r="L2" s="35" t="s">
        <v>231</v>
      </c>
      <c r="M2" s="36">
        <v>44841</v>
      </c>
    </row>
    <row r="3" spans="1:13" x14ac:dyDescent="0.25">
      <c r="A3" s="65" t="s">
        <v>134</v>
      </c>
      <c r="B3" s="66">
        <v>100</v>
      </c>
      <c r="C3" s="67" t="s">
        <v>33</v>
      </c>
      <c r="D3" s="68" t="s">
        <v>192</v>
      </c>
    </row>
    <row r="4" spans="1:13" x14ac:dyDescent="0.25">
      <c r="A4" s="12" t="s">
        <v>135</v>
      </c>
      <c r="B4" s="58">
        <v>5</v>
      </c>
      <c r="C4" s="2" t="s">
        <v>32</v>
      </c>
      <c r="D4" s="13" t="s">
        <v>51</v>
      </c>
    </row>
    <row r="5" spans="1:13" x14ac:dyDescent="0.25">
      <c r="A5" s="12" t="s">
        <v>136</v>
      </c>
      <c r="B5" s="58">
        <v>120</v>
      </c>
      <c r="C5" s="2" t="s">
        <v>34</v>
      </c>
      <c r="D5" s="13" t="s">
        <v>52</v>
      </c>
    </row>
    <row r="6" spans="1:13" x14ac:dyDescent="0.25">
      <c r="A6" s="12" t="s">
        <v>139</v>
      </c>
      <c r="B6" s="99">
        <v>0.35</v>
      </c>
      <c r="C6" s="2" t="s">
        <v>137</v>
      </c>
      <c r="D6" s="13" t="s">
        <v>138</v>
      </c>
    </row>
    <row r="7" spans="1:13" x14ac:dyDescent="0.25">
      <c r="A7" s="14" t="s">
        <v>140</v>
      </c>
      <c r="B7" s="100">
        <f>2*$B$22*TAN(($B$24/2)*PI()/180)</f>
        <v>346.41016151377534</v>
      </c>
      <c r="C7" s="2" t="s">
        <v>33</v>
      </c>
      <c r="D7" s="13"/>
    </row>
    <row r="8" spans="1:13" x14ac:dyDescent="0.25">
      <c r="A8" s="14" t="s">
        <v>144</v>
      </c>
      <c r="B8" s="101">
        <f>B7*(1-B6)</f>
        <v>225.16660498395399</v>
      </c>
      <c r="C8" s="2" t="s">
        <v>33</v>
      </c>
      <c r="D8" s="13"/>
    </row>
    <row r="9" spans="1:13" ht="15.75" customHeight="1" x14ac:dyDescent="0.25">
      <c r="A9" s="14" t="s">
        <v>142</v>
      </c>
      <c r="B9" s="4">
        <f>$B$29</f>
        <v>61.584028713560095</v>
      </c>
      <c r="C9" s="3" t="s">
        <v>60</v>
      </c>
      <c r="D9" s="13" t="s">
        <v>8</v>
      </c>
    </row>
    <row r="10" spans="1:13" ht="15.75" customHeight="1" x14ac:dyDescent="0.25">
      <c r="A10" s="14" t="s">
        <v>143</v>
      </c>
      <c r="B10" s="4">
        <f>B9*2</f>
        <v>123.16805742712019</v>
      </c>
      <c r="C10" s="3" t="s">
        <v>60</v>
      </c>
      <c r="D10" s="13" t="s">
        <v>8</v>
      </c>
    </row>
    <row r="11" spans="1:13" x14ac:dyDescent="0.25">
      <c r="A11" s="14" t="s">
        <v>48</v>
      </c>
      <c r="B11" s="4">
        <f>$B$30</f>
        <v>31.416029890561564</v>
      </c>
      <c r="C11" s="3" t="s">
        <v>58</v>
      </c>
      <c r="D11" s="13" t="s">
        <v>141</v>
      </c>
    </row>
    <row r="12" spans="1:13" x14ac:dyDescent="0.25">
      <c r="A12" s="14" t="s">
        <v>49</v>
      </c>
      <c r="B12" s="4">
        <f>$B$31</f>
        <v>3.125</v>
      </c>
      <c r="C12" s="3" t="s">
        <v>58</v>
      </c>
      <c r="D12" s="13" t="s">
        <v>141</v>
      </c>
    </row>
    <row r="13" spans="1:13" x14ac:dyDescent="0.25">
      <c r="A13" s="14" t="s">
        <v>85</v>
      </c>
      <c r="B13" s="4">
        <f>B32</f>
        <v>15.200002926507345</v>
      </c>
      <c r="C13" s="3" t="s">
        <v>58</v>
      </c>
      <c r="D13" s="13" t="s">
        <v>87</v>
      </c>
    </row>
    <row r="14" spans="1:13" ht="15.75" thickBot="1" x14ac:dyDescent="0.3">
      <c r="A14" s="22" t="s">
        <v>86</v>
      </c>
      <c r="B14" s="77">
        <f>B33</f>
        <v>22.900010007496078</v>
      </c>
      <c r="C14" s="78" t="s">
        <v>58</v>
      </c>
      <c r="D14" s="70" t="s">
        <v>87</v>
      </c>
    </row>
    <row r="15" spans="1:13" ht="15.75" thickBot="1" x14ac:dyDescent="0.3">
      <c r="A15" s="29" t="s">
        <v>92</v>
      </c>
      <c r="B15" s="30" t="s">
        <v>0</v>
      </c>
      <c r="C15" s="30" t="s">
        <v>29</v>
      </c>
      <c r="D15" s="31" t="s">
        <v>1</v>
      </c>
    </row>
    <row r="16" spans="1:13" x14ac:dyDescent="0.25">
      <c r="A16" s="24" t="s">
        <v>35</v>
      </c>
      <c r="B16" s="9">
        <v>320</v>
      </c>
      <c r="C16" s="6" t="s">
        <v>30</v>
      </c>
      <c r="D16" s="16" t="s">
        <v>89</v>
      </c>
    </row>
    <row r="17" spans="1:13" ht="14.25" customHeight="1" thickBot="1" x14ac:dyDescent="0.3">
      <c r="A17" s="24" t="s">
        <v>37</v>
      </c>
      <c r="B17" s="186">
        <v>10</v>
      </c>
      <c r="C17" s="6" t="s">
        <v>31</v>
      </c>
      <c r="D17" s="13" t="s">
        <v>193</v>
      </c>
    </row>
    <row r="18" spans="1:13" ht="16.5" customHeight="1" thickBot="1" x14ac:dyDescent="0.3">
      <c r="A18" s="24" t="s">
        <v>83</v>
      </c>
      <c r="B18" s="6">
        <v>1.52</v>
      </c>
      <c r="C18" s="6" t="s">
        <v>77</v>
      </c>
      <c r="D18" s="13" t="s">
        <v>80</v>
      </c>
      <c r="F18" s="260" t="s">
        <v>98</v>
      </c>
      <c r="G18" s="255"/>
      <c r="H18" s="256"/>
    </row>
    <row r="19" spans="1:13" ht="15" customHeight="1" x14ac:dyDescent="0.25">
      <c r="A19" s="24" t="s">
        <v>84</v>
      </c>
      <c r="B19" s="6">
        <v>2.29</v>
      </c>
      <c r="C19" s="6" t="s">
        <v>77</v>
      </c>
      <c r="D19" s="13" t="s">
        <v>80</v>
      </c>
      <c r="F19" s="39">
        <f>$B$28</f>
        <v>1732.0508075688767</v>
      </c>
      <c r="G19" s="261" t="s">
        <v>68</v>
      </c>
      <c r="H19" s="262"/>
    </row>
    <row r="20" spans="1:13" ht="15.75" customHeight="1" thickBot="1" x14ac:dyDescent="0.3">
      <c r="A20" s="25" t="s">
        <v>10</v>
      </c>
      <c r="B20" s="26">
        <v>16</v>
      </c>
      <c r="C20" s="28" t="s">
        <v>47</v>
      </c>
      <c r="D20" s="27" t="s">
        <v>96</v>
      </c>
      <c r="F20" s="39">
        <f>F19*60</f>
        <v>103923.0484541326</v>
      </c>
      <c r="G20" s="248" t="s">
        <v>62</v>
      </c>
      <c r="H20" s="249"/>
    </row>
    <row r="21" spans="1:13" ht="18" thickBot="1" x14ac:dyDescent="0.3">
      <c r="A21" s="29" t="s">
        <v>93</v>
      </c>
      <c r="B21" s="30" t="s">
        <v>0</v>
      </c>
      <c r="C21" s="30" t="s">
        <v>29</v>
      </c>
      <c r="D21" s="31" t="s">
        <v>1</v>
      </c>
      <c r="F21" s="59">
        <f>F20/1000000</f>
        <v>0.1039230484541326</v>
      </c>
      <c r="G21" s="248" t="s">
        <v>63</v>
      </c>
      <c r="H21" s="249"/>
    </row>
    <row r="22" spans="1:13" ht="17.25" x14ac:dyDescent="0.25">
      <c r="A22" s="71" t="s">
        <v>38</v>
      </c>
      <c r="B22" s="72">
        <f>$B$3</f>
        <v>100</v>
      </c>
      <c r="C22" s="73" t="s">
        <v>33</v>
      </c>
      <c r="D22" s="16" t="s">
        <v>97</v>
      </c>
      <c r="F22" s="37">
        <f>F21*60</f>
        <v>6.2353829072479554</v>
      </c>
      <c r="G22" s="248" t="s">
        <v>64</v>
      </c>
      <c r="H22" s="249"/>
    </row>
    <row r="23" spans="1:13" ht="17.25" x14ac:dyDescent="0.25">
      <c r="A23" s="15" t="s">
        <v>3</v>
      </c>
      <c r="B23" s="5">
        <f>$B$4</f>
        <v>5</v>
      </c>
      <c r="C23" s="6" t="s">
        <v>32</v>
      </c>
      <c r="D23" s="16" t="s">
        <v>97</v>
      </c>
      <c r="F23" s="37">
        <f>F22*0.386102</f>
        <v>2.4074938112542501</v>
      </c>
      <c r="G23" s="248" t="s">
        <v>65</v>
      </c>
      <c r="H23" s="249"/>
    </row>
    <row r="24" spans="1:13" x14ac:dyDescent="0.25">
      <c r="A24" s="15" t="s">
        <v>36</v>
      </c>
      <c r="B24" s="5">
        <f>$B$5</f>
        <v>120</v>
      </c>
      <c r="C24" s="6" t="s">
        <v>34</v>
      </c>
      <c r="D24" s="16" t="s">
        <v>97</v>
      </c>
      <c r="F24" s="39">
        <f>F22*247.105</f>
        <v>1540.7942932955059</v>
      </c>
      <c r="G24" s="248" t="s">
        <v>66</v>
      </c>
      <c r="H24" s="249"/>
    </row>
    <row r="25" spans="1:13" ht="15.75" thickBot="1" x14ac:dyDescent="0.3">
      <c r="A25" s="15" t="s">
        <v>39</v>
      </c>
      <c r="B25" s="7">
        <f>$B$24/360*$B$16</f>
        <v>106.66666666666666</v>
      </c>
      <c r="C25" s="6" t="s">
        <v>30</v>
      </c>
      <c r="D25" s="13" t="s">
        <v>6</v>
      </c>
      <c r="F25" s="82">
        <f>F22*100</f>
        <v>623.5382907247955</v>
      </c>
      <c r="G25" s="250" t="s">
        <v>67</v>
      </c>
      <c r="H25" s="251"/>
    </row>
    <row r="26" spans="1:13" ht="15.75" thickBot="1" x14ac:dyDescent="0.3">
      <c r="A26" s="15" t="s">
        <v>40</v>
      </c>
      <c r="B26" s="7">
        <f>2*$B$22*TAN(($B$24/2)*PI()/180)</f>
        <v>346.41016151377534</v>
      </c>
      <c r="C26" s="6" t="s">
        <v>33</v>
      </c>
      <c r="D26" s="13" t="s">
        <v>7</v>
      </c>
    </row>
    <row r="27" spans="1:13" ht="15.75" thickBot="1" x14ac:dyDescent="0.3">
      <c r="A27" s="15" t="s">
        <v>41</v>
      </c>
      <c r="B27" s="5">
        <f>$B$23</f>
        <v>5</v>
      </c>
      <c r="C27" s="6" t="s">
        <v>33</v>
      </c>
      <c r="D27" s="13" t="s">
        <v>3</v>
      </c>
      <c r="F27" s="252" t="s">
        <v>72</v>
      </c>
      <c r="G27" s="253"/>
      <c r="H27" s="253"/>
      <c r="I27" s="253"/>
      <c r="J27" s="254"/>
      <c r="K27" s="255" t="s">
        <v>75</v>
      </c>
      <c r="L27" s="256"/>
      <c r="M27" s="160" t="s">
        <v>189</v>
      </c>
    </row>
    <row r="28" spans="1:13" ht="18" thickBot="1" x14ac:dyDescent="0.3">
      <c r="A28" s="15" t="s">
        <v>42</v>
      </c>
      <c r="B28" s="7">
        <f>$B$26*$B$27</f>
        <v>1732.0508075688767</v>
      </c>
      <c r="C28" s="6" t="s">
        <v>53</v>
      </c>
      <c r="D28" s="13" t="s">
        <v>2</v>
      </c>
      <c r="F28" s="166" t="s">
        <v>69</v>
      </c>
      <c r="G28" s="69" t="s">
        <v>70</v>
      </c>
      <c r="H28" s="69" t="s">
        <v>71</v>
      </c>
      <c r="I28" s="69" t="s">
        <v>73</v>
      </c>
      <c r="J28" s="172" t="s">
        <v>74</v>
      </c>
      <c r="K28" s="162" t="s">
        <v>76</v>
      </c>
      <c r="L28" s="163">
        <f>B6*M28</f>
        <v>0.35</v>
      </c>
      <c r="M28">
        <v>1</v>
      </c>
    </row>
    <row r="29" spans="1:13" ht="16.5" customHeight="1" thickBot="1" x14ac:dyDescent="0.3">
      <c r="A29" s="15" t="s">
        <v>43</v>
      </c>
      <c r="B29" s="7">
        <f>$B$25*1000/$B$28</f>
        <v>61.584028713560095</v>
      </c>
      <c r="C29" s="6" t="s">
        <v>54</v>
      </c>
      <c r="D29" s="13" t="s">
        <v>4</v>
      </c>
      <c r="F29" s="178">
        <f>J42</f>
        <v>18</v>
      </c>
      <c r="G29" s="179">
        <f>$F$24/60*F29*(1-$L$28)*(1-$L$30)</f>
        <v>173.79092721148373</v>
      </c>
      <c r="H29" s="179">
        <f>$F$25/60*F29*(1-$L$28)*(1-$L$30)</f>
        <v>70.330801566736312</v>
      </c>
      <c r="I29" s="179">
        <f>$F$22/60*F29*(1-$L$28)*(1-$L$30)</f>
        <v>0.70330801566736323</v>
      </c>
      <c r="J29" s="180">
        <f>$F$23/60*F29*(1-$L$28)*(1-$L$30)</f>
        <v>0.2715486314652002</v>
      </c>
      <c r="K29" s="243" t="s">
        <v>187</v>
      </c>
      <c r="L29" s="245"/>
      <c r="M29" s="160" t="s">
        <v>189</v>
      </c>
    </row>
    <row r="30" spans="1:13" ht="15.75" thickBot="1" x14ac:dyDescent="0.3">
      <c r="A30" s="60" t="s">
        <v>44</v>
      </c>
      <c r="B30" s="61">
        <f>$B$39</f>
        <v>31.416029890561564</v>
      </c>
      <c r="C30" s="62" t="s">
        <v>58</v>
      </c>
      <c r="D30" s="63" t="s">
        <v>23</v>
      </c>
      <c r="F30" s="169">
        <v>5</v>
      </c>
      <c r="G30" s="170">
        <f t="shared" ref="G30:G39" si="0">$F$24/60*F30*(1-$L$28)*(1-$L$30)</f>
        <v>48.275257558745487</v>
      </c>
      <c r="H30" s="170">
        <f t="shared" ref="H30:H39" si="1">$F$25/60*F30*(1-$L$28)*(1-$L$30)</f>
        <v>19.536333768537865</v>
      </c>
      <c r="I30" s="170">
        <f t="shared" ref="I30:I39" si="2">$F$22/60*F30*(1-$L$28)*(1-$L$30)</f>
        <v>0.19536333768537867</v>
      </c>
      <c r="J30" s="171">
        <f t="shared" ref="J30:J39" si="3">$F$23/60*F30*(1-$L$28)*(1-$L$30)</f>
        <v>7.5430175407000075E-2</v>
      </c>
      <c r="K30" s="176" t="s">
        <v>188</v>
      </c>
      <c r="L30" s="177">
        <f>J51*M30</f>
        <v>0.42157397126955293</v>
      </c>
      <c r="M30">
        <v>1</v>
      </c>
    </row>
    <row r="31" spans="1:13" x14ac:dyDescent="0.25">
      <c r="A31" s="15" t="s">
        <v>45</v>
      </c>
      <c r="B31" s="7">
        <f>$B$41</f>
        <v>3.125</v>
      </c>
      <c r="C31" s="6" t="s">
        <v>58</v>
      </c>
      <c r="D31" s="13" t="s">
        <v>24</v>
      </c>
      <c r="F31" s="164">
        <v>10</v>
      </c>
      <c r="G31" s="161">
        <f t="shared" si="0"/>
        <v>96.550515117490974</v>
      </c>
      <c r="H31" s="161">
        <f t="shared" si="1"/>
        <v>39.072667537075731</v>
      </c>
      <c r="I31" s="161">
        <f t="shared" si="2"/>
        <v>0.39072667537075734</v>
      </c>
      <c r="J31" s="165">
        <f t="shared" si="3"/>
        <v>0.15086035081400015</v>
      </c>
    </row>
    <row r="32" spans="1:13" x14ac:dyDescent="0.25">
      <c r="A32" s="15" t="s">
        <v>78</v>
      </c>
      <c r="B32" s="7">
        <f>2*($B$3*TAN((B18/2)/1000))*100</f>
        <v>15.200002926507345</v>
      </c>
      <c r="C32" s="6" t="s">
        <v>58</v>
      </c>
      <c r="D32" s="13" t="s">
        <v>81</v>
      </c>
      <c r="F32" s="164">
        <v>15</v>
      </c>
      <c r="G32" s="161">
        <f t="shared" si="0"/>
        <v>144.82577267623645</v>
      </c>
      <c r="H32" s="161">
        <f t="shared" si="1"/>
        <v>58.609001305613589</v>
      </c>
      <c r="I32" s="161">
        <f t="shared" si="2"/>
        <v>0.58609001305613595</v>
      </c>
      <c r="J32" s="165">
        <f t="shared" si="3"/>
        <v>0.22629052622100021</v>
      </c>
    </row>
    <row r="33" spans="1:10" ht="15.75" customHeight="1" thickBot="1" x14ac:dyDescent="0.3">
      <c r="A33" s="23" t="s">
        <v>79</v>
      </c>
      <c r="B33" s="7">
        <f>2*($B$3*TAN((B19/2)/1000))*100</f>
        <v>22.900010007496078</v>
      </c>
      <c r="C33" s="69" t="s">
        <v>58</v>
      </c>
      <c r="D33" s="21" t="s">
        <v>82</v>
      </c>
      <c r="F33" s="164">
        <v>20</v>
      </c>
      <c r="G33" s="161">
        <f t="shared" si="0"/>
        <v>193.10103023498195</v>
      </c>
      <c r="H33" s="161">
        <f t="shared" si="1"/>
        <v>78.145335074151461</v>
      </c>
      <c r="I33" s="161">
        <f t="shared" si="2"/>
        <v>0.78145335074151467</v>
      </c>
      <c r="J33" s="165">
        <f t="shared" si="3"/>
        <v>0.3017207016280003</v>
      </c>
    </row>
    <row r="34" spans="1:10" ht="14.25" customHeight="1" thickBot="1" x14ac:dyDescent="0.3">
      <c r="A34" s="240" t="s">
        <v>20</v>
      </c>
      <c r="B34" s="241"/>
      <c r="C34" s="241"/>
      <c r="D34" s="242"/>
      <c r="F34" s="164">
        <v>25</v>
      </c>
      <c r="G34" s="161">
        <f t="shared" si="0"/>
        <v>241.37628779372739</v>
      </c>
      <c r="H34" s="161">
        <f t="shared" si="1"/>
        <v>97.681668842689334</v>
      </c>
      <c r="I34" s="161">
        <f t="shared" si="2"/>
        <v>0.97681668842689329</v>
      </c>
      <c r="J34" s="165">
        <f t="shared" si="3"/>
        <v>0.37715087703500033</v>
      </c>
    </row>
    <row r="35" spans="1:10" ht="15" customHeight="1" x14ac:dyDescent="0.25">
      <c r="A35" s="15" t="s">
        <v>11</v>
      </c>
      <c r="B35" s="7">
        <f>$B$16/$B$20</f>
        <v>20</v>
      </c>
      <c r="C35" s="6" t="s">
        <v>30</v>
      </c>
      <c r="D35" s="13" t="s">
        <v>25</v>
      </c>
      <c r="F35" s="164">
        <v>30</v>
      </c>
      <c r="G35" s="161">
        <f t="shared" si="0"/>
        <v>289.65154535247291</v>
      </c>
      <c r="H35" s="161">
        <f t="shared" si="1"/>
        <v>117.21800261122718</v>
      </c>
      <c r="I35" s="161">
        <f t="shared" si="2"/>
        <v>1.1721800261122719</v>
      </c>
      <c r="J35" s="165">
        <f t="shared" si="3"/>
        <v>0.45258105244200042</v>
      </c>
    </row>
    <row r="36" spans="1:10" ht="14.25" customHeight="1" thickBot="1" x14ac:dyDescent="0.3">
      <c r="A36" s="15" t="s">
        <v>12</v>
      </c>
      <c r="B36" s="7">
        <f>$B$24/360*$B$35</f>
        <v>6.6666666666666661</v>
      </c>
      <c r="C36" s="6" t="s">
        <v>30</v>
      </c>
      <c r="D36" s="13" t="s">
        <v>15</v>
      </c>
      <c r="F36" s="173">
        <v>45</v>
      </c>
      <c r="G36" s="174">
        <f t="shared" si="0"/>
        <v>434.47731802870936</v>
      </c>
      <c r="H36" s="174">
        <f t="shared" si="1"/>
        <v>175.82700391684079</v>
      </c>
      <c r="I36" s="174">
        <f>$F$22/60*F36*(1-$L$28)*(1-$L$30)</f>
        <v>1.7582700391684081</v>
      </c>
      <c r="J36" s="175">
        <f t="shared" si="3"/>
        <v>0.67887157866300052</v>
      </c>
    </row>
    <row r="37" spans="1:10" ht="14.25" customHeight="1" thickBot="1" x14ac:dyDescent="0.3">
      <c r="A37" s="15" t="s">
        <v>21</v>
      </c>
      <c r="B37" s="7">
        <f>$B$36*1000/$B$28</f>
        <v>3.8490017945975059</v>
      </c>
      <c r="C37" s="8" t="s">
        <v>54</v>
      </c>
      <c r="D37" s="13" t="s">
        <v>22</v>
      </c>
      <c r="F37" s="178">
        <v>60</v>
      </c>
      <c r="G37" s="179">
        <f t="shared" si="0"/>
        <v>579.30309070494582</v>
      </c>
      <c r="H37" s="179">
        <f t="shared" si="1"/>
        <v>234.43600522245436</v>
      </c>
      <c r="I37" s="179">
        <f t="shared" si="2"/>
        <v>2.3443600522245438</v>
      </c>
      <c r="J37" s="180">
        <f t="shared" si="3"/>
        <v>0.90516210488400084</v>
      </c>
    </row>
    <row r="38" spans="1:10" ht="14.25" customHeight="1" x14ac:dyDescent="0.25">
      <c r="A38" s="15" t="s">
        <v>56</v>
      </c>
      <c r="B38" s="32">
        <f>(360*$B$17)/($B$35*1000)</f>
        <v>0.18</v>
      </c>
      <c r="C38" s="8" t="s">
        <v>57</v>
      </c>
      <c r="D38" s="13" t="s">
        <v>55</v>
      </c>
      <c r="F38" s="169">
        <v>75</v>
      </c>
      <c r="G38" s="170">
        <f t="shared" si="0"/>
        <v>724.12886338118221</v>
      </c>
      <c r="H38" s="170">
        <f t="shared" si="1"/>
        <v>293.04500652806792</v>
      </c>
      <c r="I38" s="170">
        <f t="shared" si="2"/>
        <v>2.93045006528068</v>
      </c>
      <c r="J38" s="171">
        <f t="shared" si="3"/>
        <v>1.131452631105001</v>
      </c>
    </row>
    <row r="39" spans="1:10" ht="15.75" thickBot="1" x14ac:dyDescent="0.3">
      <c r="A39" s="15" t="s">
        <v>13</v>
      </c>
      <c r="B39" s="7">
        <f>$B$22*TAN(($B$38)*PI()/180)*100</f>
        <v>31.416029890561564</v>
      </c>
      <c r="C39" s="9" t="s">
        <v>58</v>
      </c>
      <c r="D39" s="33" t="s">
        <v>59</v>
      </c>
      <c r="F39" s="166">
        <v>90</v>
      </c>
      <c r="G39" s="167">
        <f t="shared" si="0"/>
        <v>868.95463605741872</v>
      </c>
      <c r="H39" s="167">
        <f t="shared" si="1"/>
        <v>351.65400783368159</v>
      </c>
      <c r="I39" s="167">
        <f t="shared" si="2"/>
        <v>3.5165400783368161</v>
      </c>
      <c r="J39" s="168">
        <f t="shared" si="3"/>
        <v>1.357743157326001</v>
      </c>
    </row>
    <row r="40" spans="1:10" ht="15.75" thickBot="1" x14ac:dyDescent="0.3">
      <c r="A40" s="15" t="s">
        <v>14</v>
      </c>
      <c r="B40" s="7">
        <f>$B$23/$B$17*100</f>
        <v>50</v>
      </c>
      <c r="C40" s="9" t="s">
        <v>58</v>
      </c>
      <c r="D40" s="13" t="s">
        <v>5</v>
      </c>
    </row>
    <row r="41" spans="1:10" ht="15.75" thickBot="1" x14ac:dyDescent="0.3">
      <c r="A41" s="15" t="s">
        <v>9</v>
      </c>
      <c r="B41" s="7">
        <f>$B$23/$B$17/$B$20*100</f>
        <v>3.125</v>
      </c>
      <c r="C41" s="9" t="s">
        <v>58</v>
      </c>
      <c r="D41" s="13" t="s">
        <v>17</v>
      </c>
      <c r="F41" s="243" t="s">
        <v>190</v>
      </c>
      <c r="G41" s="244"/>
      <c r="H41" s="244"/>
      <c r="I41" s="244"/>
      <c r="J41" s="245"/>
    </row>
    <row r="42" spans="1:10" x14ac:dyDescent="0.25">
      <c r="A42" s="17" t="s">
        <v>16</v>
      </c>
      <c r="B42" s="10">
        <f>2*$B$22*TAN((1/2)*PI()/180)</f>
        <v>1.7453735581517578</v>
      </c>
      <c r="C42" s="8" t="s">
        <v>33</v>
      </c>
      <c r="D42" s="13" t="s">
        <v>194</v>
      </c>
      <c r="F42" s="246" t="s">
        <v>182</v>
      </c>
      <c r="G42" s="247"/>
      <c r="H42" s="247"/>
      <c r="I42" s="247"/>
      <c r="J42" s="181">
        <v>18</v>
      </c>
    </row>
    <row r="43" spans="1:10" x14ac:dyDescent="0.25">
      <c r="A43" s="17" t="s">
        <v>18</v>
      </c>
      <c r="B43" s="11">
        <f>$B$42/($B$40/100)</f>
        <v>3.4907471163035155</v>
      </c>
      <c r="C43" s="9" t="s">
        <v>47</v>
      </c>
      <c r="D43" s="13" t="s">
        <v>26</v>
      </c>
      <c r="F43" s="236" t="s">
        <v>177</v>
      </c>
      <c r="G43" s="237"/>
      <c r="H43" s="237"/>
      <c r="I43" s="237"/>
      <c r="J43" s="182">
        <v>10</v>
      </c>
    </row>
    <row r="44" spans="1:10" ht="15" customHeight="1" thickBot="1" x14ac:dyDescent="0.3">
      <c r="A44" s="18" t="s">
        <v>19</v>
      </c>
      <c r="B44" s="19">
        <f>B43/B17</f>
        <v>0.34907471163035153</v>
      </c>
      <c r="C44" s="20" t="s">
        <v>46</v>
      </c>
      <c r="D44" s="21" t="s">
        <v>27</v>
      </c>
      <c r="F44" s="236" t="s">
        <v>183</v>
      </c>
      <c r="G44" s="237"/>
      <c r="H44" s="237"/>
      <c r="I44" s="237"/>
      <c r="J44" s="182">
        <v>15</v>
      </c>
    </row>
    <row r="45" spans="1:10" ht="15" customHeight="1" x14ac:dyDescent="0.25">
      <c r="F45" s="236" t="s">
        <v>184</v>
      </c>
      <c r="G45" s="237"/>
      <c r="H45" s="237"/>
      <c r="I45" s="237"/>
      <c r="J45" s="182">
        <v>10</v>
      </c>
    </row>
    <row r="46" spans="1:10" x14ac:dyDescent="0.25">
      <c r="F46" s="236" t="s">
        <v>185</v>
      </c>
      <c r="G46" s="237"/>
      <c r="H46" s="237"/>
      <c r="I46" s="237"/>
      <c r="J46" s="182">
        <v>10</v>
      </c>
    </row>
    <row r="47" spans="1:10" x14ac:dyDescent="0.25">
      <c r="F47" s="236" t="s">
        <v>186</v>
      </c>
      <c r="G47" s="237"/>
      <c r="H47" s="237"/>
      <c r="I47" s="237"/>
      <c r="J47" s="182">
        <v>15</v>
      </c>
    </row>
    <row r="48" spans="1:10" x14ac:dyDescent="0.25">
      <c r="F48" s="238" t="s">
        <v>176</v>
      </c>
      <c r="G48" s="239"/>
      <c r="H48" s="239"/>
      <c r="I48" s="239"/>
      <c r="J48" s="183">
        <f>B8/B4</f>
        <v>45.033320996790799</v>
      </c>
    </row>
    <row r="49" spans="6:12" x14ac:dyDescent="0.25">
      <c r="F49" s="238" t="s">
        <v>178</v>
      </c>
      <c r="G49" s="239"/>
      <c r="H49" s="239"/>
      <c r="I49" s="239"/>
      <c r="J49" s="183">
        <f>J48*(J43-1)</f>
        <v>405.29988897111718</v>
      </c>
    </row>
    <row r="50" spans="6:12" x14ac:dyDescent="0.25">
      <c r="F50" s="238" t="s">
        <v>179</v>
      </c>
      <c r="G50" s="239"/>
      <c r="H50" s="239"/>
      <c r="I50" s="239"/>
      <c r="J50" s="183">
        <f>J44+J45+J46+J47+J49</f>
        <v>455.29988897111718</v>
      </c>
    </row>
    <row r="51" spans="6:12" x14ac:dyDescent="0.25">
      <c r="F51" s="238" t="s">
        <v>180</v>
      </c>
      <c r="G51" s="239"/>
      <c r="H51" s="239"/>
      <c r="I51" s="239"/>
      <c r="J51" s="184">
        <f>J50/(J42*60)</f>
        <v>0.42157397126955293</v>
      </c>
    </row>
    <row r="52" spans="6:12" ht="15.75" thickBot="1" x14ac:dyDescent="0.3">
      <c r="F52" s="234" t="s">
        <v>181</v>
      </c>
      <c r="G52" s="235"/>
      <c r="H52" s="235"/>
      <c r="I52" s="235"/>
      <c r="J52" s="185">
        <f>1-J51</f>
        <v>0.57842602873044702</v>
      </c>
    </row>
    <row r="55" spans="6:12" x14ac:dyDescent="0.25">
      <c r="F55" t="s">
        <v>197</v>
      </c>
      <c r="J55" s="94">
        <v>5000</v>
      </c>
    </row>
    <row r="56" spans="6:12" x14ac:dyDescent="0.25">
      <c r="F56" t="s">
        <v>198</v>
      </c>
      <c r="J56" s="94">
        <v>2500</v>
      </c>
    </row>
    <row r="57" spans="6:12" x14ac:dyDescent="0.25">
      <c r="F57" t="s">
        <v>199</v>
      </c>
      <c r="J57" s="195">
        <f>B8</f>
        <v>225.16660498395399</v>
      </c>
    </row>
    <row r="58" spans="6:12" x14ac:dyDescent="0.25">
      <c r="F58" t="s">
        <v>229</v>
      </c>
      <c r="J58" s="195">
        <f>J55/J57</f>
        <v>22.20577958421638</v>
      </c>
    </row>
    <row r="59" spans="6:12" x14ac:dyDescent="0.25">
      <c r="F59" t="s">
        <v>230</v>
      </c>
      <c r="J59" s="195">
        <f>J56/J57</f>
        <v>11.10288979210819</v>
      </c>
    </row>
    <row r="60" spans="6:12" x14ac:dyDescent="0.25">
      <c r="F60" t="s">
        <v>200</v>
      </c>
      <c r="J60">
        <f>J55/B4</f>
        <v>1000</v>
      </c>
      <c r="K60" s="195">
        <f>J60/60</f>
        <v>16.666666666666668</v>
      </c>
    </row>
    <row r="61" spans="6:12" x14ac:dyDescent="0.25">
      <c r="F61" t="s">
        <v>201</v>
      </c>
      <c r="J61">
        <f>J56/B4</f>
        <v>500</v>
      </c>
      <c r="K61" s="195">
        <f>J61/60</f>
        <v>8.3333333333333339</v>
      </c>
    </row>
    <row r="62" spans="6:12" x14ac:dyDescent="0.25">
      <c r="F62" t="s">
        <v>207</v>
      </c>
      <c r="J62" s="195">
        <f>J60*J58</f>
        <v>22205.77958421638</v>
      </c>
      <c r="K62" s="195">
        <f>J62/60</f>
        <v>370.09632640360633</v>
      </c>
      <c r="L62" s="195">
        <f>K62/60</f>
        <v>6.1682721067267723</v>
      </c>
    </row>
    <row r="63" spans="6:12" x14ac:dyDescent="0.25">
      <c r="F63" t="s">
        <v>208</v>
      </c>
      <c r="J63" s="195">
        <f>J61*J59</f>
        <v>5551.4448960540949</v>
      </c>
      <c r="K63" s="195">
        <f>J63/60</f>
        <v>92.524081600901582</v>
      </c>
      <c r="L63" s="195">
        <f>K63/60</f>
        <v>1.5420680266816931</v>
      </c>
    </row>
    <row r="65" spans="6:12" x14ac:dyDescent="0.25">
      <c r="F65" t="s">
        <v>202</v>
      </c>
      <c r="J65" s="195">
        <f>J57/B4</f>
        <v>45.033320996790799</v>
      </c>
    </row>
    <row r="66" spans="6:12" x14ac:dyDescent="0.25">
      <c r="F66" t="s">
        <v>203</v>
      </c>
      <c r="J66" s="196">
        <f>J58-1</f>
        <v>21.20577958421638</v>
      </c>
    </row>
    <row r="67" spans="6:12" x14ac:dyDescent="0.25">
      <c r="F67" t="s">
        <v>204</v>
      </c>
      <c r="J67" s="196">
        <f>J59-1</f>
        <v>10.10288979210819</v>
      </c>
    </row>
    <row r="68" spans="6:12" x14ac:dyDescent="0.25">
      <c r="F68" t="s">
        <v>205</v>
      </c>
      <c r="J68" s="195">
        <f>J65*J66</f>
        <v>954.96667900320915</v>
      </c>
      <c r="K68" s="195">
        <f>J68/60</f>
        <v>15.916111316720153</v>
      </c>
      <c r="L68" s="195">
        <f>K68/60</f>
        <v>0.2652685219453359</v>
      </c>
    </row>
    <row r="69" spans="6:12" x14ac:dyDescent="0.25">
      <c r="F69" t="s">
        <v>206</v>
      </c>
      <c r="J69" s="195">
        <f>J65*J67</f>
        <v>454.96667900320921</v>
      </c>
      <c r="K69" s="195">
        <f>J69/60</f>
        <v>7.5827779833868201</v>
      </c>
      <c r="L69" s="195">
        <f>K69/60</f>
        <v>0.126379633056447</v>
      </c>
    </row>
    <row r="71" spans="6:12" x14ac:dyDescent="0.25">
      <c r="F71" t="s">
        <v>209</v>
      </c>
      <c r="J71" s="94">
        <v>20</v>
      </c>
    </row>
    <row r="72" spans="6:12" x14ac:dyDescent="0.25">
      <c r="F72" t="s">
        <v>210</v>
      </c>
      <c r="J72" s="94">
        <v>500</v>
      </c>
    </row>
    <row r="73" spans="6:12" x14ac:dyDescent="0.25">
      <c r="F73" t="s">
        <v>211</v>
      </c>
      <c r="J73">
        <f>J55/J72</f>
        <v>10</v>
      </c>
    </row>
    <row r="74" spans="6:12" x14ac:dyDescent="0.25">
      <c r="F74" t="s">
        <v>212</v>
      </c>
      <c r="J74" s="195">
        <f>J73*J58</f>
        <v>222.05779584216378</v>
      </c>
    </row>
    <row r="75" spans="6:12" x14ac:dyDescent="0.25">
      <c r="F75" t="s">
        <v>215</v>
      </c>
      <c r="J75">
        <f>J56/J72</f>
        <v>5</v>
      </c>
    </row>
    <row r="76" spans="6:12" x14ac:dyDescent="0.25">
      <c r="F76" t="s">
        <v>216</v>
      </c>
      <c r="J76" s="195">
        <f>J75*J59</f>
        <v>55.514448960540946</v>
      </c>
    </row>
    <row r="77" spans="6:12" x14ac:dyDescent="0.25">
      <c r="F77" t="s">
        <v>213</v>
      </c>
      <c r="J77" s="195">
        <f>J74*J71</f>
        <v>4441.1559168432759</v>
      </c>
      <c r="K77" s="195">
        <f>J77/60</f>
        <v>74.019265280721271</v>
      </c>
      <c r="L77" s="195">
        <f>K77/60</f>
        <v>1.2336544213453544</v>
      </c>
    </row>
    <row r="78" spans="6:12" x14ac:dyDescent="0.25">
      <c r="F78" t="s">
        <v>214</v>
      </c>
      <c r="J78" s="195">
        <f>J76*J71</f>
        <v>1110.288979210819</v>
      </c>
      <c r="K78" s="195">
        <f>J78/60</f>
        <v>18.504816320180318</v>
      </c>
      <c r="L78" s="195">
        <f>K78/60</f>
        <v>0.3084136053363386</v>
      </c>
    </row>
    <row r="80" spans="6:12" x14ac:dyDescent="0.25">
      <c r="F80" t="s">
        <v>217</v>
      </c>
      <c r="J80" s="195">
        <f>J62+J68+J77</f>
        <v>27601.902180062865</v>
      </c>
      <c r="K80" s="195">
        <f>J80/60</f>
        <v>460.03170300104773</v>
      </c>
      <c r="L80" s="195">
        <f>K80/60</f>
        <v>7.6671950500174626</v>
      </c>
    </row>
    <row r="81" spans="6:12" x14ac:dyDescent="0.25">
      <c r="F81" t="s">
        <v>218</v>
      </c>
      <c r="J81" s="195">
        <f>J63+J69+J78</f>
        <v>7116.7005542681227</v>
      </c>
      <c r="K81" s="195">
        <f>J81/60</f>
        <v>118.61167590446871</v>
      </c>
      <c r="L81" s="195">
        <f>K81/60</f>
        <v>1.9768612650744786</v>
      </c>
    </row>
    <row r="83" spans="6:12" x14ac:dyDescent="0.25">
      <c r="F83" t="s">
        <v>219</v>
      </c>
      <c r="J83" s="94">
        <v>20</v>
      </c>
    </row>
    <row r="84" spans="6:12" x14ac:dyDescent="0.25">
      <c r="F84" t="s">
        <v>220</v>
      </c>
      <c r="J84">
        <f>J83/K60</f>
        <v>1.2</v>
      </c>
    </row>
    <row r="85" spans="6:12" x14ac:dyDescent="0.25">
      <c r="F85" t="s">
        <v>221</v>
      </c>
      <c r="J85">
        <f>J83/K61</f>
        <v>2.4</v>
      </c>
    </row>
    <row r="86" spans="6:12" x14ac:dyDescent="0.25">
      <c r="F86" t="s">
        <v>222</v>
      </c>
      <c r="J86" s="195">
        <f>K80/J83</f>
        <v>23.001585150052385</v>
      </c>
    </row>
    <row r="87" spans="6:12" x14ac:dyDescent="0.25">
      <c r="F87" t="s">
        <v>223</v>
      </c>
      <c r="J87" s="195">
        <f>K81/J83</f>
        <v>5.9305837952234359</v>
      </c>
    </row>
    <row r="88" spans="6:12" x14ac:dyDescent="0.25">
      <c r="F88" t="s">
        <v>224</v>
      </c>
      <c r="J88" s="195">
        <f>J58/J84</f>
        <v>18.504816320180318</v>
      </c>
    </row>
    <row r="89" spans="6:12" x14ac:dyDescent="0.25">
      <c r="F89" t="s">
        <v>225</v>
      </c>
      <c r="J89" s="195">
        <f>J59/J85</f>
        <v>4.6262040800450794</v>
      </c>
    </row>
    <row r="91" spans="6:12" x14ac:dyDescent="0.25">
      <c r="F91" t="s">
        <v>228</v>
      </c>
      <c r="J91" s="94">
        <v>2500</v>
      </c>
    </row>
    <row r="92" spans="6:12" x14ac:dyDescent="0.25">
      <c r="F92" t="s">
        <v>226</v>
      </c>
      <c r="J92">
        <f>J55/J91</f>
        <v>2</v>
      </c>
    </row>
    <row r="93" spans="6:12" x14ac:dyDescent="0.25">
      <c r="F93" t="s">
        <v>227</v>
      </c>
      <c r="J93">
        <f>J56/J91</f>
        <v>1</v>
      </c>
    </row>
  </sheetData>
  <mergeCells count="25">
    <mergeCell ref="K27:L27"/>
    <mergeCell ref="K29:L29"/>
    <mergeCell ref="A1:D1"/>
    <mergeCell ref="F18:H18"/>
    <mergeCell ref="G19:H19"/>
    <mergeCell ref="G20:H20"/>
    <mergeCell ref="G21:H21"/>
    <mergeCell ref="G22:H22"/>
    <mergeCell ref="F45:I45"/>
    <mergeCell ref="G23:H23"/>
    <mergeCell ref="G24:H24"/>
    <mergeCell ref="G25:H25"/>
    <mergeCell ref="F27:J27"/>
    <mergeCell ref="A34:D34"/>
    <mergeCell ref="F41:J41"/>
    <mergeCell ref="F42:I42"/>
    <mergeCell ref="F43:I43"/>
    <mergeCell ref="F44:I44"/>
    <mergeCell ref="F52:I52"/>
    <mergeCell ref="F46:I46"/>
    <mergeCell ref="F47:I47"/>
    <mergeCell ref="F48:I48"/>
    <mergeCell ref="F49:I49"/>
    <mergeCell ref="F50:I50"/>
    <mergeCell ref="F51:I51"/>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0E6521-0C26-4957-B73F-63700268069A}">
  <sheetPr>
    <tabColor theme="8"/>
  </sheetPr>
  <dimension ref="A1:AC60"/>
  <sheetViews>
    <sheetView zoomScaleNormal="100" workbookViewId="0">
      <selection activeCell="B4" sqref="B4"/>
    </sheetView>
  </sheetViews>
  <sheetFormatPr defaultRowHeight="15" x14ac:dyDescent="0.25"/>
  <cols>
    <col min="1" max="1" width="55.85546875" bestFit="1" customWidth="1"/>
    <col min="2" max="2" width="9.140625" style="1"/>
    <col min="3" max="3" width="10" style="1" bestFit="1" customWidth="1"/>
    <col min="4" max="4" width="77.5703125" bestFit="1" customWidth="1"/>
    <col min="6" max="6" width="11.42578125" customWidth="1"/>
    <col min="7" max="7" width="13.7109375" customWidth="1"/>
  </cols>
  <sheetData>
    <row r="1" spans="1:14" ht="19.5" thickBot="1" x14ac:dyDescent="0.35">
      <c r="A1" s="264" t="s">
        <v>91</v>
      </c>
      <c r="B1" s="265"/>
      <c r="C1" s="265"/>
      <c r="D1" s="266"/>
    </row>
    <row r="2" spans="1:14" ht="15.75" thickBot="1" x14ac:dyDescent="0.3">
      <c r="A2" s="79" t="s">
        <v>94</v>
      </c>
      <c r="B2" s="64" t="s">
        <v>0</v>
      </c>
      <c r="C2" s="80" t="s">
        <v>29</v>
      </c>
      <c r="D2" s="81" t="s">
        <v>1</v>
      </c>
      <c r="L2" s="34" t="s">
        <v>61</v>
      </c>
      <c r="M2" s="35" t="s">
        <v>195</v>
      </c>
      <c r="N2" s="36">
        <v>44396</v>
      </c>
    </row>
    <row r="3" spans="1:14" x14ac:dyDescent="0.25">
      <c r="A3" s="65" t="s">
        <v>134</v>
      </c>
      <c r="B3" s="66">
        <v>100</v>
      </c>
      <c r="C3" s="67" t="s">
        <v>33</v>
      </c>
      <c r="D3" s="68" t="s">
        <v>88</v>
      </c>
    </row>
    <row r="4" spans="1:14" x14ac:dyDescent="0.25">
      <c r="A4" s="12" t="s">
        <v>135</v>
      </c>
      <c r="B4" s="58">
        <v>5</v>
      </c>
      <c r="C4" s="2" t="s">
        <v>32</v>
      </c>
      <c r="D4" s="13" t="s">
        <v>51</v>
      </c>
    </row>
    <row r="5" spans="1:14" x14ac:dyDescent="0.25">
      <c r="A5" s="12" t="s">
        <v>145</v>
      </c>
      <c r="B5" s="58">
        <v>90</v>
      </c>
      <c r="C5" s="2" t="s">
        <v>34</v>
      </c>
      <c r="D5" s="13" t="s">
        <v>52</v>
      </c>
    </row>
    <row r="6" spans="1:14" x14ac:dyDescent="0.25">
      <c r="A6" s="12" t="s">
        <v>139</v>
      </c>
      <c r="B6" s="99">
        <v>0.35</v>
      </c>
      <c r="C6" s="2" t="s">
        <v>137</v>
      </c>
      <c r="D6" s="13" t="s">
        <v>138</v>
      </c>
    </row>
    <row r="7" spans="1:14" ht="15.75" customHeight="1" x14ac:dyDescent="0.25">
      <c r="A7" s="12" t="s">
        <v>120</v>
      </c>
      <c r="B7" s="58">
        <v>300</v>
      </c>
      <c r="C7" s="2" t="s">
        <v>30</v>
      </c>
      <c r="D7" s="13" t="s">
        <v>196</v>
      </c>
    </row>
    <row r="8" spans="1:14" x14ac:dyDescent="0.25">
      <c r="A8" s="12" t="s">
        <v>99</v>
      </c>
      <c r="B8" s="58">
        <v>39.893999999999998</v>
      </c>
      <c r="C8" s="2" t="s">
        <v>31</v>
      </c>
      <c r="D8" s="13" t="s">
        <v>102</v>
      </c>
    </row>
    <row r="9" spans="1:14" x14ac:dyDescent="0.25">
      <c r="A9" s="14" t="s">
        <v>117</v>
      </c>
      <c r="B9" s="86">
        <f>(B20*1000*SQRT((B4*360*180)/(B20*1000*B3*PI())))/360</f>
        <v>48.86025119029199</v>
      </c>
      <c r="C9" s="3" t="s">
        <v>31</v>
      </c>
      <c r="D9" s="93" t="s">
        <v>119</v>
      </c>
    </row>
    <row r="10" spans="1:14" ht="15.75" thickBot="1" x14ac:dyDescent="0.3">
      <c r="A10" s="14" t="s">
        <v>100</v>
      </c>
      <c r="B10" s="87">
        <f>(B8*360)/(B20*1000)</f>
        <v>4.78728E-2</v>
      </c>
      <c r="C10" s="3" t="s">
        <v>101</v>
      </c>
      <c r="D10" s="13" t="s">
        <v>118</v>
      </c>
    </row>
    <row r="11" spans="1:14" ht="15.75" thickBot="1" x14ac:dyDescent="0.3">
      <c r="A11" s="14" t="s">
        <v>140</v>
      </c>
      <c r="B11" s="101">
        <f>2*$B$26*TAN(($B$28/2)*PI()/180)</f>
        <v>199.99999999999997</v>
      </c>
      <c r="C11" s="3" t="s">
        <v>33</v>
      </c>
      <c r="D11" s="13"/>
      <c r="F11" s="260" t="s">
        <v>103</v>
      </c>
      <c r="G11" s="255"/>
      <c r="H11" s="255"/>
      <c r="I11" s="255"/>
      <c r="J11" s="256"/>
    </row>
    <row r="12" spans="1:14" x14ac:dyDescent="0.25">
      <c r="A12" s="14" t="s">
        <v>144</v>
      </c>
      <c r="B12" s="101">
        <f>B11*(1-B6)</f>
        <v>130</v>
      </c>
      <c r="C12" s="3" t="s">
        <v>33</v>
      </c>
      <c r="D12" s="13"/>
      <c r="F12" s="40" t="s">
        <v>104</v>
      </c>
      <c r="G12" s="58">
        <v>200</v>
      </c>
      <c r="H12" t="s">
        <v>30</v>
      </c>
      <c r="J12" s="88"/>
    </row>
    <row r="13" spans="1:14" ht="17.25" x14ac:dyDescent="0.25">
      <c r="A13" s="14" t="s">
        <v>142</v>
      </c>
      <c r="B13" s="4">
        <f>$B$33</f>
        <v>75.000000000000014</v>
      </c>
      <c r="C13" s="3" t="s">
        <v>60</v>
      </c>
      <c r="D13" s="13" t="s">
        <v>8</v>
      </c>
      <c r="F13" s="40" t="s">
        <v>106</v>
      </c>
      <c r="G13" s="58">
        <v>60</v>
      </c>
      <c r="H13" t="s">
        <v>33</v>
      </c>
      <c r="J13" s="88"/>
    </row>
    <row r="14" spans="1:14" ht="18" thickBot="1" x14ac:dyDescent="0.3">
      <c r="A14" s="14" t="s">
        <v>143</v>
      </c>
      <c r="B14" s="4">
        <f>B13*2</f>
        <v>150.00000000000003</v>
      </c>
      <c r="C14" s="3" t="s">
        <v>60</v>
      </c>
      <c r="D14" s="13" t="s">
        <v>8</v>
      </c>
      <c r="F14" s="40" t="s">
        <v>105</v>
      </c>
      <c r="G14" s="58">
        <v>5</v>
      </c>
      <c r="H14" t="s">
        <v>32</v>
      </c>
      <c r="J14" s="88"/>
    </row>
    <row r="15" spans="1:14" ht="15.75" thickBot="1" x14ac:dyDescent="0.3">
      <c r="A15" s="14" t="s">
        <v>48</v>
      </c>
      <c r="B15" s="4">
        <f>$B$34</f>
        <v>8.355381765850904</v>
      </c>
      <c r="C15" s="3" t="s">
        <v>58</v>
      </c>
      <c r="D15" s="13" t="s">
        <v>116</v>
      </c>
      <c r="F15" s="260" t="s">
        <v>110</v>
      </c>
      <c r="G15" s="255"/>
      <c r="H15" s="255"/>
      <c r="I15" s="255"/>
      <c r="J15" s="256"/>
    </row>
    <row r="16" spans="1:14" x14ac:dyDescent="0.25">
      <c r="A16" s="14" t="s">
        <v>49</v>
      </c>
      <c r="B16" s="4">
        <f>$B$35</f>
        <v>12.533213014488394</v>
      </c>
      <c r="C16" s="3" t="s">
        <v>58</v>
      </c>
      <c r="D16" s="13" t="s">
        <v>116</v>
      </c>
      <c r="F16" s="40" t="s">
        <v>109</v>
      </c>
      <c r="I16" s="89">
        <f>SQRT((G14*360*180)/(G12*1000*G13*PI()))</f>
        <v>9.2705808485565505E-2</v>
      </c>
      <c r="J16" s="90" t="s">
        <v>34</v>
      </c>
    </row>
    <row r="17" spans="1:29" ht="14.25" customHeight="1" x14ac:dyDescent="0.25">
      <c r="A17" s="14" t="s">
        <v>85</v>
      </c>
      <c r="B17" s="4">
        <f>B36</f>
        <v>16.000003413334206</v>
      </c>
      <c r="C17" s="3" t="s">
        <v>58</v>
      </c>
      <c r="D17" s="13" t="s">
        <v>87</v>
      </c>
      <c r="F17" s="40" t="s">
        <v>111</v>
      </c>
      <c r="I17" s="91">
        <f>(G12*1000*I16)/360</f>
        <v>51.503226936425278</v>
      </c>
      <c r="J17" s="90" t="s">
        <v>31</v>
      </c>
    </row>
    <row r="18" spans="1:29" ht="16.5" customHeight="1" thickBot="1" x14ac:dyDescent="0.3">
      <c r="A18" s="22" t="s">
        <v>86</v>
      </c>
      <c r="B18" s="77">
        <f>B37</f>
        <v>5.0000001041666682</v>
      </c>
      <c r="C18" s="78" t="s">
        <v>58</v>
      </c>
      <c r="D18" s="70" t="s">
        <v>87</v>
      </c>
      <c r="F18" s="40" t="s">
        <v>114</v>
      </c>
      <c r="I18" s="41">
        <f>(I16*PI()*G13)/180*100</f>
        <v>9.7081295627784954</v>
      </c>
      <c r="J18" s="90" t="s">
        <v>58</v>
      </c>
    </row>
    <row r="19" spans="1:29" ht="15" customHeight="1" thickBot="1" x14ac:dyDescent="0.3">
      <c r="A19" s="29" t="s">
        <v>92</v>
      </c>
      <c r="B19" s="30" t="s">
        <v>0</v>
      </c>
      <c r="C19" s="30" t="s">
        <v>29</v>
      </c>
      <c r="D19" s="31" t="s">
        <v>1</v>
      </c>
      <c r="F19" s="40" t="s">
        <v>115</v>
      </c>
      <c r="I19" s="41">
        <f>G14/I17*100</f>
        <v>9.7081295627784954</v>
      </c>
      <c r="J19" s="90" t="s">
        <v>58</v>
      </c>
      <c r="W19" s="260" t="s">
        <v>98</v>
      </c>
      <c r="X19" s="255"/>
      <c r="Y19" s="256"/>
    </row>
    <row r="20" spans="1:29" ht="15.75" customHeight="1" thickBot="1" x14ac:dyDescent="0.3">
      <c r="A20" s="24" t="s">
        <v>35</v>
      </c>
      <c r="B20" s="9">
        <f>B7</f>
        <v>300</v>
      </c>
      <c r="C20" s="6" t="s">
        <v>30</v>
      </c>
      <c r="D20" s="16" t="s">
        <v>89</v>
      </c>
      <c r="F20" s="260" t="s">
        <v>112</v>
      </c>
      <c r="G20" s="255"/>
      <c r="H20" s="255"/>
      <c r="I20" s="255"/>
      <c r="J20" s="256"/>
      <c r="W20" s="39">
        <f>$B$32</f>
        <v>999.99999999999989</v>
      </c>
      <c r="X20" s="83" t="s">
        <v>68</v>
      </c>
      <c r="Y20" s="84"/>
    </row>
    <row r="21" spans="1:29" ht="17.25" x14ac:dyDescent="0.25">
      <c r="A21" s="24" t="s">
        <v>37</v>
      </c>
      <c r="B21" s="6">
        <f>B8</f>
        <v>39.893999999999998</v>
      </c>
      <c r="C21" s="6" t="s">
        <v>31</v>
      </c>
      <c r="D21" s="13" t="s">
        <v>97</v>
      </c>
      <c r="F21" s="40" t="s">
        <v>113</v>
      </c>
      <c r="I21" s="58">
        <v>3.5999999999999997E-2</v>
      </c>
      <c r="J21" s="90" t="s">
        <v>34</v>
      </c>
      <c r="W21" s="39">
        <f>W20*60</f>
        <v>59999.999999999993</v>
      </c>
      <c r="X21" s="38" t="s">
        <v>62</v>
      </c>
      <c r="Y21" s="85"/>
    </row>
    <row r="22" spans="1:29" ht="17.25" x14ac:dyDescent="0.25">
      <c r="A22" s="24" t="s">
        <v>83</v>
      </c>
      <c r="B22" s="6">
        <v>1.6</v>
      </c>
      <c r="C22" s="6" t="s">
        <v>77</v>
      </c>
      <c r="D22" s="13" t="s">
        <v>80</v>
      </c>
      <c r="F22" s="267" t="s">
        <v>37</v>
      </c>
      <c r="G22" s="268"/>
      <c r="I22">
        <f>(G12*1000*I21)/360</f>
        <v>19.999999999999996</v>
      </c>
      <c r="J22" s="90" t="s">
        <v>31</v>
      </c>
      <c r="W22" s="59">
        <f>W21/1000000</f>
        <v>5.9999999999999991E-2</v>
      </c>
      <c r="X22" s="38" t="s">
        <v>63</v>
      </c>
      <c r="Y22" s="85"/>
    </row>
    <row r="23" spans="1:29" ht="17.25" x14ac:dyDescent="0.25">
      <c r="A23" s="24" t="s">
        <v>84</v>
      </c>
      <c r="B23" s="6">
        <v>0.5</v>
      </c>
      <c r="C23" s="6" t="s">
        <v>77</v>
      </c>
      <c r="D23" s="13" t="s">
        <v>80</v>
      </c>
      <c r="F23" s="267" t="s">
        <v>107</v>
      </c>
      <c r="G23" s="268"/>
      <c r="I23" s="41">
        <f>((I21*PI()*G13)/180)*100</f>
        <v>3.7699111843077513</v>
      </c>
      <c r="J23" s="90" t="s">
        <v>58</v>
      </c>
      <c r="W23" s="37">
        <f>W22*60</f>
        <v>3.5999999999999996</v>
      </c>
      <c r="X23" s="248" t="s">
        <v>64</v>
      </c>
      <c r="Y23" s="249"/>
    </row>
    <row r="24" spans="1:29" ht="18" thickBot="1" x14ac:dyDescent="0.3">
      <c r="A24" s="25" t="s">
        <v>10</v>
      </c>
      <c r="B24" s="26">
        <v>1</v>
      </c>
      <c r="C24" s="28" t="s">
        <v>47</v>
      </c>
      <c r="D24" s="27" t="s">
        <v>96</v>
      </c>
      <c r="F24" s="269" t="s">
        <v>108</v>
      </c>
      <c r="G24" s="270"/>
      <c r="H24" s="43"/>
      <c r="I24" s="44">
        <f>(G14/I22)*100</f>
        <v>25.000000000000007</v>
      </c>
      <c r="J24" s="92" t="s">
        <v>58</v>
      </c>
      <c r="W24" s="37">
        <f>W23*0.386102</f>
        <v>1.3899671999999998</v>
      </c>
      <c r="X24" s="248" t="s">
        <v>65</v>
      </c>
      <c r="Y24" s="249"/>
    </row>
    <row r="25" spans="1:29" ht="15.75" thickBot="1" x14ac:dyDescent="0.3">
      <c r="A25" s="29" t="s">
        <v>93</v>
      </c>
      <c r="B25" s="30" t="s">
        <v>0</v>
      </c>
      <c r="C25" s="30" t="s">
        <v>29</v>
      </c>
      <c r="D25" s="31" t="s">
        <v>1</v>
      </c>
      <c r="W25" s="39">
        <f>W23*247.105</f>
        <v>889.57799999999986</v>
      </c>
      <c r="X25" s="248" t="s">
        <v>66</v>
      </c>
      <c r="Y25" s="249"/>
    </row>
    <row r="26" spans="1:29" ht="15.75" thickBot="1" x14ac:dyDescent="0.3">
      <c r="A26" s="71" t="s">
        <v>38</v>
      </c>
      <c r="B26" s="72">
        <f>$B$3</f>
        <v>100</v>
      </c>
      <c r="C26" s="73" t="s">
        <v>33</v>
      </c>
      <c r="D26" s="16" t="s">
        <v>97</v>
      </c>
      <c r="F26" s="260" t="s">
        <v>98</v>
      </c>
      <c r="G26" s="255"/>
      <c r="H26" s="256"/>
      <c r="W26" s="82">
        <f>W23*100</f>
        <v>359.99999999999994</v>
      </c>
      <c r="X26" s="250" t="s">
        <v>67</v>
      </c>
      <c r="Y26" s="251"/>
    </row>
    <row r="27" spans="1:29" ht="17.25" x14ac:dyDescent="0.25">
      <c r="A27" s="15" t="s">
        <v>3</v>
      </c>
      <c r="B27" s="5">
        <f>$B$4</f>
        <v>5</v>
      </c>
      <c r="C27" s="6" t="s">
        <v>32</v>
      </c>
      <c r="D27" s="16" t="s">
        <v>97</v>
      </c>
      <c r="F27" s="39">
        <f>$B$32</f>
        <v>999.99999999999989</v>
      </c>
      <c r="G27" s="261" t="s">
        <v>68</v>
      </c>
      <c r="H27" s="262"/>
    </row>
    <row r="28" spans="1:29" ht="17.25" x14ac:dyDescent="0.25">
      <c r="A28" s="15" t="s">
        <v>36</v>
      </c>
      <c r="B28" s="5">
        <f>$B$5</f>
        <v>90</v>
      </c>
      <c r="C28" s="6" t="s">
        <v>34</v>
      </c>
      <c r="D28" s="16" t="s">
        <v>97</v>
      </c>
      <c r="F28" s="39">
        <f>F27*60</f>
        <v>59999.999999999993</v>
      </c>
      <c r="G28" s="248" t="s">
        <v>62</v>
      </c>
      <c r="H28" s="249"/>
    </row>
    <row r="29" spans="1:29" ht="17.25" x14ac:dyDescent="0.25">
      <c r="A29" s="15" t="s">
        <v>39</v>
      </c>
      <c r="B29" s="7">
        <f>$B$28/360*$B$20</f>
        <v>75</v>
      </c>
      <c r="C29" s="6" t="s">
        <v>30</v>
      </c>
      <c r="D29" s="13" t="s">
        <v>6</v>
      </c>
      <c r="F29" s="59">
        <f>F28/1000000</f>
        <v>5.9999999999999991E-2</v>
      </c>
      <c r="G29" s="248" t="s">
        <v>63</v>
      </c>
      <c r="H29" s="249"/>
    </row>
    <row r="30" spans="1:29" ht="18" thickBot="1" x14ac:dyDescent="0.3">
      <c r="A30" s="15" t="s">
        <v>40</v>
      </c>
      <c r="B30" s="7">
        <f>2*$B$26*TAN(($B$28/2)*PI()/180)</f>
        <v>199.99999999999997</v>
      </c>
      <c r="C30" s="6" t="s">
        <v>33</v>
      </c>
      <c r="D30" s="13" t="s">
        <v>7</v>
      </c>
      <c r="F30" s="37">
        <f>F29*60</f>
        <v>3.5999999999999996</v>
      </c>
      <c r="G30" s="248" t="s">
        <v>64</v>
      </c>
      <c r="H30" s="249"/>
    </row>
    <row r="31" spans="1:29" ht="18" thickBot="1" x14ac:dyDescent="0.3">
      <c r="A31" s="15" t="s">
        <v>41</v>
      </c>
      <c r="B31" s="5">
        <f>$B$27</f>
        <v>5</v>
      </c>
      <c r="C31" s="6" t="s">
        <v>33</v>
      </c>
      <c r="D31" s="13" t="s">
        <v>3</v>
      </c>
      <c r="F31" s="37">
        <f>F30*0.386102</f>
        <v>1.3899671999999998</v>
      </c>
      <c r="G31" s="248" t="s">
        <v>65</v>
      </c>
      <c r="H31" s="249"/>
      <c r="W31" s="260" t="s">
        <v>72</v>
      </c>
      <c r="X31" s="255"/>
      <c r="Y31" s="255"/>
      <c r="Z31" s="255"/>
      <c r="AA31" s="256"/>
      <c r="AB31" s="260" t="s">
        <v>75</v>
      </c>
      <c r="AC31" s="256"/>
    </row>
    <row r="32" spans="1:29" ht="18" thickBot="1" x14ac:dyDescent="0.3">
      <c r="A32" s="15" t="s">
        <v>42</v>
      </c>
      <c r="B32" s="7">
        <f>$B$30*$B$31</f>
        <v>999.99999999999989</v>
      </c>
      <c r="C32" s="6" t="s">
        <v>53</v>
      </c>
      <c r="D32" s="13" t="s">
        <v>2</v>
      </c>
      <c r="F32" s="39">
        <f>F30*247.105</f>
        <v>889.57799999999986</v>
      </c>
      <c r="G32" s="248" t="s">
        <v>66</v>
      </c>
      <c r="H32" s="249"/>
      <c r="W32" s="47" t="s">
        <v>69</v>
      </c>
      <c r="X32" s="48" t="s">
        <v>70</v>
      </c>
      <c r="Y32" s="48" t="s">
        <v>71</v>
      </c>
      <c r="Z32" s="48" t="s">
        <v>73</v>
      </c>
      <c r="AA32" s="49" t="s">
        <v>74</v>
      </c>
      <c r="AB32" s="47" t="s">
        <v>76</v>
      </c>
      <c r="AC32" s="54">
        <f>B6</f>
        <v>0.35</v>
      </c>
    </row>
    <row r="33" spans="1:27" ht="15.75" customHeight="1" thickBot="1" x14ac:dyDescent="0.3">
      <c r="A33" s="15" t="s">
        <v>43</v>
      </c>
      <c r="B33" s="7">
        <f>$B$29*1000/$B$32</f>
        <v>75.000000000000014</v>
      </c>
      <c r="C33" s="6" t="s">
        <v>54</v>
      </c>
      <c r="D33" s="13" t="s">
        <v>4</v>
      </c>
      <c r="F33" s="82">
        <f>F30*100</f>
        <v>359.99999999999994</v>
      </c>
      <c r="G33" s="250" t="s">
        <v>67</v>
      </c>
      <c r="H33" s="251"/>
      <c r="W33" s="51">
        <v>5</v>
      </c>
      <c r="X33" s="52">
        <f t="shared" ref="X33:X41" si="0">$W$25/60*W33*(1-$AC$32)</f>
        <v>48.185474999999997</v>
      </c>
      <c r="Y33" s="52">
        <f t="shared" ref="Y33:Y41" si="1">$W$26/60*W33*(1-$AC$32)</f>
        <v>19.5</v>
      </c>
      <c r="Z33" s="52">
        <f t="shared" ref="Z33:Z41" si="2">$W$23/60*W33*(1-$AC$32)</f>
        <v>0.19499999999999995</v>
      </c>
      <c r="AA33" s="53">
        <f t="shared" ref="AA33:AA41" si="3">$W$24/60*W33*(1-$AC$32)</f>
        <v>7.5289889999999998E-2</v>
      </c>
    </row>
    <row r="34" spans="1:27" ht="14.25" customHeight="1" thickBot="1" x14ac:dyDescent="0.3">
      <c r="A34" s="60" t="s">
        <v>44</v>
      </c>
      <c r="B34" s="61">
        <f>$B$43</f>
        <v>8.355381765850904</v>
      </c>
      <c r="C34" s="62" t="s">
        <v>58</v>
      </c>
      <c r="D34" s="63" t="s">
        <v>23</v>
      </c>
      <c r="W34" s="46">
        <v>15</v>
      </c>
      <c r="X34" s="41">
        <f t="shared" si="0"/>
        <v>144.55642499999999</v>
      </c>
      <c r="Y34" s="41">
        <f t="shared" si="1"/>
        <v>58.499999999999993</v>
      </c>
      <c r="Z34" s="41">
        <f t="shared" si="2"/>
        <v>0.58499999999999996</v>
      </c>
      <c r="AA34" s="42">
        <f t="shared" si="3"/>
        <v>0.22586966999999999</v>
      </c>
    </row>
    <row r="35" spans="1:27" ht="15" customHeight="1" thickBot="1" x14ac:dyDescent="0.3">
      <c r="A35" s="15" t="s">
        <v>45</v>
      </c>
      <c r="B35" s="7">
        <f>$B$45</f>
        <v>12.533213014488394</v>
      </c>
      <c r="C35" s="6" t="s">
        <v>58</v>
      </c>
      <c r="D35" s="13" t="s">
        <v>24</v>
      </c>
      <c r="F35" s="252" t="s">
        <v>72</v>
      </c>
      <c r="G35" s="253"/>
      <c r="H35" s="253"/>
      <c r="I35" s="253"/>
      <c r="J35" s="254"/>
      <c r="K35" s="255" t="s">
        <v>75</v>
      </c>
      <c r="L35" s="256"/>
      <c r="M35" s="160" t="s">
        <v>189</v>
      </c>
      <c r="W35" s="46">
        <v>20</v>
      </c>
      <c r="X35" s="41">
        <f t="shared" si="0"/>
        <v>192.74189999999999</v>
      </c>
      <c r="Y35" s="41">
        <f t="shared" si="1"/>
        <v>78</v>
      </c>
      <c r="Z35" s="41">
        <f t="shared" si="2"/>
        <v>0.7799999999999998</v>
      </c>
      <c r="AA35" s="42">
        <f t="shared" si="3"/>
        <v>0.30115955999999999</v>
      </c>
    </row>
    <row r="36" spans="1:27" ht="14.25" customHeight="1" thickBot="1" x14ac:dyDescent="0.3">
      <c r="A36" s="15" t="s">
        <v>78</v>
      </c>
      <c r="B36" s="7">
        <f>2*($B$3*TAN((B22/2)/1000))*100</f>
        <v>16.000003413334206</v>
      </c>
      <c r="C36" s="6" t="s">
        <v>58</v>
      </c>
      <c r="D36" s="13" t="s">
        <v>81</v>
      </c>
      <c r="F36" s="166" t="s">
        <v>69</v>
      </c>
      <c r="G36" s="69" t="s">
        <v>70</v>
      </c>
      <c r="H36" s="69" t="s">
        <v>71</v>
      </c>
      <c r="I36" s="69" t="s">
        <v>73</v>
      </c>
      <c r="J36" s="172" t="s">
        <v>74</v>
      </c>
      <c r="K36" s="162" t="s">
        <v>76</v>
      </c>
      <c r="L36" s="163">
        <f>B6*M36</f>
        <v>0.35</v>
      </c>
      <c r="M36">
        <v>1</v>
      </c>
      <c r="W36" s="46">
        <v>25</v>
      </c>
      <c r="X36" s="41">
        <f t="shared" si="0"/>
        <v>240.92737499999998</v>
      </c>
      <c r="Y36" s="41">
        <f t="shared" si="1"/>
        <v>97.499999999999986</v>
      </c>
      <c r="Z36" s="41">
        <f t="shared" si="2"/>
        <v>0.97499999999999987</v>
      </c>
      <c r="AA36" s="42">
        <f t="shared" si="3"/>
        <v>0.37644944999999996</v>
      </c>
    </row>
    <row r="37" spans="1:27" ht="14.25" customHeight="1" thickBot="1" x14ac:dyDescent="0.3">
      <c r="A37" s="23" t="s">
        <v>79</v>
      </c>
      <c r="B37" s="7">
        <f>2*($B$3*TAN((B23/2)/1000))*100</f>
        <v>5.0000001041666682</v>
      </c>
      <c r="C37" s="69" t="s">
        <v>58</v>
      </c>
      <c r="D37" s="21" t="s">
        <v>82</v>
      </c>
      <c r="F37" s="178">
        <f>J50</f>
        <v>18</v>
      </c>
      <c r="G37" s="179">
        <f>$F$32/60*F37*(1-$L$36)*(1-$L$38)</f>
        <v>111.79030199999998</v>
      </c>
      <c r="H37" s="179">
        <f>$F$33/60*F37*(1-$L$36)*(1-$L$38)</f>
        <v>45.239999999999988</v>
      </c>
      <c r="I37" s="179">
        <f>$F$30/60*F37*(1-$L$36)*(1-$L$38)</f>
        <v>0.45239999999999991</v>
      </c>
      <c r="J37" s="180">
        <f>$F$31/60*F37*(1-$L$36)*(1-$L$38)</f>
        <v>0.17467254479999997</v>
      </c>
      <c r="K37" s="263" t="s">
        <v>187</v>
      </c>
      <c r="L37" s="245"/>
      <c r="M37" s="160" t="s">
        <v>189</v>
      </c>
      <c r="W37" s="46">
        <v>30</v>
      </c>
      <c r="X37" s="41">
        <f t="shared" si="0"/>
        <v>289.11284999999998</v>
      </c>
      <c r="Y37" s="41">
        <f t="shared" si="1"/>
        <v>116.99999999999999</v>
      </c>
      <c r="Z37" s="41">
        <f t="shared" si="2"/>
        <v>1.17</v>
      </c>
      <c r="AA37" s="42">
        <f t="shared" si="3"/>
        <v>0.45173933999999999</v>
      </c>
    </row>
    <row r="38" spans="1:27" ht="14.25" customHeight="1" thickBot="1" x14ac:dyDescent="0.3">
      <c r="A38" s="74" t="s">
        <v>20</v>
      </c>
      <c r="B38" s="75"/>
      <c r="C38" s="75"/>
      <c r="D38" s="76"/>
      <c r="F38" s="191">
        <v>5</v>
      </c>
      <c r="G38" s="170">
        <f t="shared" ref="G38:G47" si="4">$F$32/60*F38*(1-$L$36)*(1-$L$38)</f>
        <v>31.052861666666661</v>
      </c>
      <c r="H38" s="170">
        <f t="shared" ref="H38:H47" si="5">$F$33/60*F38*(1-$L$36)*(1-$L$38)</f>
        <v>12.566666666666665</v>
      </c>
      <c r="I38" s="170">
        <f t="shared" ref="I38:I47" si="6">$F$30/60*F38*(1-$L$36)*(1-$L$38)</f>
        <v>0.12566666666666662</v>
      </c>
      <c r="J38" s="171">
        <f t="shared" ref="J38:J47" si="7">$F$31/60*F38*(1-$L$36)*(1-$L$38)</f>
        <v>4.8520151333333324E-2</v>
      </c>
      <c r="K38" s="194" t="s">
        <v>188</v>
      </c>
      <c r="L38" s="177">
        <f>J59*M38</f>
        <v>0.35555555555555557</v>
      </c>
      <c r="M38">
        <v>1</v>
      </c>
      <c r="W38" s="46">
        <v>45</v>
      </c>
      <c r="X38" s="41">
        <f t="shared" si="0"/>
        <v>433.66927499999991</v>
      </c>
      <c r="Y38" s="41">
        <f t="shared" si="1"/>
        <v>175.49999999999997</v>
      </c>
      <c r="Z38" s="41">
        <f t="shared" si="2"/>
        <v>1.7549999999999999</v>
      </c>
      <c r="AA38" s="42">
        <f t="shared" si="3"/>
        <v>0.67760900999999996</v>
      </c>
    </row>
    <row r="39" spans="1:27" ht="15.75" customHeight="1" x14ac:dyDescent="0.25">
      <c r="A39" s="15" t="s">
        <v>11</v>
      </c>
      <c r="B39" s="7">
        <f>$B$20/$B$24</f>
        <v>300</v>
      </c>
      <c r="C39" s="6" t="s">
        <v>30</v>
      </c>
      <c r="D39" s="13" t="s">
        <v>25</v>
      </c>
      <c r="F39" s="192">
        <v>10</v>
      </c>
      <c r="G39" s="161">
        <f t="shared" si="4"/>
        <v>62.105723333333323</v>
      </c>
      <c r="H39" s="161">
        <f t="shared" si="5"/>
        <v>25.133333333333329</v>
      </c>
      <c r="I39" s="161">
        <f t="shared" si="6"/>
        <v>0.25133333333333324</v>
      </c>
      <c r="J39" s="165">
        <f t="shared" si="7"/>
        <v>9.7040302666666647E-2</v>
      </c>
      <c r="W39" s="55">
        <v>60</v>
      </c>
      <c r="X39" s="56">
        <f t="shared" si="0"/>
        <v>578.22569999999996</v>
      </c>
      <c r="Y39" s="56">
        <f t="shared" si="1"/>
        <v>233.99999999999997</v>
      </c>
      <c r="Z39" s="56">
        <f t="shared" si="2"/>
        <v>2.34</v>
      </c>
      <c r="AA39" s="57">
        <f t="shared" si="3"/>
        <v>0.90347867999999998</v>
      </c>
    </row>
    <row r="40" spans="1:27" x14ac:dyDescent="0.25">
      <c r="A40" s="15" t="s">
        <v>12</v>
      </c>
      <c r="B40" s="7">
        <f>$B$28/360*$B$39</f>
        <v>75</v>
      </c>
      <c r="C40" s="6" t="s">
        <v>30</v>
      </c>
      <c r="D40" s="13" t="s">
        <v>15</v>
      </c>
      <c r="F40" s="192">
        <v>15</v>
      </c>
      <c r="G40" s="161">
        <f t="shared" si="4"/>
        <v>93.158584999999988</v>
      </c>
      <c r="H40" s="161">
        <f t="shared" si="5"/>
        <v>37.699999999999989</v>
      </c>
      <c r="I40" s="161">
        <f t="shared" si="6"/>
        <v>0.37699999999999995</v>
      </c>
      <c r="J40" s="165">
        <f t="shared" si="7"/>
        <v>0.14556045399999998</v>
      </c>
      <c r="W40" s="46">
        <v>75</v>
      </c>
      <c r="X40" s="41">
        <f t="shared" si="0"/>
        <v>722.78212499999995</v>
      </c>
      <c r="Y40" s="41">
        <f t="shared" si="1"/>
        <v>292.5</v>
      </c>
      <c r="Z40" s="41">
        <f t="shared" si="2"/>
        <v>2.9249999999999994</v>
      </c>
      <c r="AA40" s="42">
        <f t="shared" si="3"/>
        <v>1.1293483499999999</v>
      </c>
    </row>
    <row r="41" spans="1:27" ht="18" thickBot="1" x14ac:dyDescent="0.3">
      <c r="A41" s="15" t="s">
        <v>21</v>
      </c>
      <c r="B41" s="7">
        <f>$B$40*1000/$B$32</f>
        <v>75.000000000000014</v>
      </c>
      <c r="C41" s="8" t="s">
        <v>54</v>
      </c>
      <c r="D41" s="13" t="s">
        <v>22</v>
      </c>
      <c r="F41" s="192">
        <v>20</v>
      </c>
      <c r="G41" s="161">
        <f t="shared" si="4"/>
        <v>124.21144666666665</v>
      </c>
      <c r="H41" s="161">
        <f t="shared" si="5"/>
        <v>50.266666666666659</v>
      </c>
      <c r="I41" s="161">
        <f t="shared" si="6"/>
        <v>0.50266666666666648</v>
      </c>
      <c r="J41" s="165">
        <f t="shared" si="7"/>
        <v>0.19408060533333329</v>
      </c>
      <c r="W41" s="50">
        <v>90</v>
      </c>
      <c r="X41" s="44">
        <f t="shared" si="0"/>
        <v>867.33854999999983</v>
      </c>
      <c r="Y41" s="44">
        <f t="shared" si="1"/>
        <v>350.99999999999994</v>
      </c>
      <c r="Z41" s="44">
        <f t="shared" si="2"/>
        <v>3.51</v>
      </c>
      <c r="AA41" s="45">
        <f t="shared" si="3"/>
        <v>1.3552180199999999</v>
      </c>
    </row>
    <row r="42" spans="1:27" x14ac:dyDescent="0.25">
      <c r="A42" s="15" t="s">
        <v>56</v>
      </c>
      <c r="B42" s="32">
        <f>(360*$B$21)/($B$39*1000)</f>
        <v>4.78728E-2</v>
      </c>
      <c r="C42" s="8" t="s">
        <v>57</v>
      </c>
      <c r="D42" s="13" t="s">
        <v>55</v>
      </c>
      <c r="F42" s="192">
        <v>25</v>
      </c>
      <c r="G42" s="161">
        <f t="shared" si="4"/>
        <v>155.2643083333333</v>
      </c>
      <c r="H42" s="161">
        <f t="shared" si="5"/>
        <v>62.833333333333314</v>
      </c>
      <c r="I42" s="161">
        <f t="shared" si="6"/>
        <v>0.62833333333333319</v>
      </c>
      <c r="J42" s="165">
        <f t="shared" si="7"/>
        <v>0.24260075666666661</v>
      </c>
    </row>
    <row r="43" spans="1:27" x14ac:dyDescent="0.25">
      <c r="A43" s="15" t="s">
        <v>13</v>
      </c>
      <c r="B43" s="7">
        <f>$B$26*TAN(($B$42)*PI()/180)*100</f>
        <v>8.355381765850904</v>
      </c>
      <c r="C43" s="9" t="s">
        <v>58</v>
      </c>
      <c r="D43" s="33" t="s">
        <v>59</v>
      </c>
      <c r="F43" s="192">
        <v>30</v>
      </c>
      <c r="G43" s="161">
        <f t="shared" si="4"/>
        <v>186.31716999999998</v>
      </c>
      <c r="H43" s="161">
        <f t="shared" si="5"/>
        <v>75.399999999999977</v>
      </c>
      <c r="I43" s="161">
        <f t="shared" si="6"/>
        <v>0.75399999999999989</v>
      </c>
      <c r="J43" s="165">
        <f t="shared" si="7"/>
        <v>0.29112090799999996</v>
      </c>
    </row>
    <row r="44" spans="1:27" ht="15" customHeight="1" thickBot="1" x14ac:dyDescent="0.3">
      <c r="A44" s="15" t="s">
        <v>14</v>
      </c>
      <c r="B44" s="7">
        <f>$B$27/$B$21*100</f>
        <v>12.533213014488394</v>
      </c>
      <c r="C44" s="9" t="s">
        <v>58</v>
      </c>
      <c r="D44" s="13" t="s">
        <v>5</v>
      </c>
      <c r="F44" s="193">
        <v>45</v>
      </c>
      <c r="G44" s="174">
        <f t="shared" si="4"/>
        <v>279.47575499999994</v>
      </c>
      <c r="H44" s="174">
        <f t="shared" si="5"/>
        <v>113.09999999999997</v>
      </c>
      <c r="I44" s="174">
        <f t="shared" si="6"/>
        <v>1.1309999999999998</v>
      </c>
      <c r="J44" s="175">
        <f t="shared" si="7"/>
        <v>0.43668136199999991</v>
      </c>
    </row>
    <row r="45" spans="1:27" ht="15" customHeight="1" thickBot="1" x14ac:dyDescent="0.3">
      <c r="A45" s="15" t="s">
        <v>9</v>
      </c>
      <c r="B45" s="7">
        <f>$B$27/$B$21/$B$24*100</f>
        <v>12.533213014488394</v>
      </c>
      <c r="C45" s="9" t="s">
        <v>58</v>
      </c>
      <c r="D45" s="13" t="s">
        <v>17</v>
      </c>
      <c r="F45" s="178">
        <v>60</v>
      </c>
      <c r="G45" s="179">
        <f t="shared" si="4"/>
        <v>372.63433999999995</v>
      </c>
      <c r="H45" s="179">
        <f t="shared" si="5"/>
        <v>150.79999999999995</v>
      </c>
      <c r="I45" s="179">
        <f t="shared" si="6"/>
        <v>1.5079999999999998</v>
      </c>
      <c r="J45" s="180">
        <f t="shared" si="7"/>
        <v>0.58224181599999991</v>
      </c>
    </row>
    <row r="46" spans="1:27" x14ac:dyDescent="0.25">
      <c r="A46" s="17" t="s">
        <v>16</v>
      </c>
      <c r="B46" s="10">
        <f>2*$B$26*TAN((3.2/2)*PI()/180)</f>
        <v>5.5865058393174989</v>
      </c>
      <c r="C46" s="8" t="s">
        <v>33</v>
      </c>
      <c r="D46" s="13" t="s">
        <v>28</v>
      </c>
      <c r="F46" s="169">
        <v>75</v>
      </c>
      <c r="G46" s="170">
        <f t="shared" si="4"/>
        <v>465.79292499999991</v>
      </c>
      <c r="H46" s="170">
        <f t="shared" si="5"/>
        <v>188.49999999999997</v>
      </c>
      <c r="I46" s="170">
        <f t="shared" si="6"/>
        <v>1.8849999999999993</v>
      </c>
      <c r="J46" s="171">
        <f t="shared" si="7"/>
        <v>0.72780226999999986</v>
      </c>
    </row>
    <row r="47" spans="1:27" ht="15.75" thickBot="1" x14ac:dyDescent="0.3">
      <c r="A47" s="17" t="s">
        <v>18</v>
      </c>
      <c r="B47" s="11">
        <f>$B$46/($B$44/100)</f>
        <v>44.573612790746459</v>
      </c>
      <c r="C47" s="9" t="s">
        <v>47</v>
      </c>
      <c r="D47" s="13" t="s">
        <v>26</v>
      </c>
      <c r="F47" s="166">
        <v>90</v>
      </c>
      <c r="G47" s="167">
        <f t="shared" si="4"/>
        <v>558.95150999999987</v>
      </c>
      <c r="H47" s="167">
        <f t="shared" si="5"/>
        <v>226.19999999999993</v>
      </c>
      <c r="I47" s="167">
        <f t="shared" si="6"/>
        <v>2.2619999999999996</v>
      </c>
      <c r="J47" s="168">
        <f t="shared" si="7"/>
        <v>0.87336272399999981</v>
      </c>
    </row>
    <row r="48" spans="1:27" ht="15.75" thickBot="1" x14ac:dyDescent="0.3">
      <c r="A48" s="18" t="s">
        <v>19</v>
      </c>
      <c r="B48" s="19">
        <f>B47/B21</f>
        <v>1.1173011678634999</v>
      </c>
      <c r="C48" s="20" t="s">
        <v>46</v>
      </c>
      <c r="D48" s="21" t="s">
        <v>27</v>
      </c>
    </row>
    <row r="49" spans="6:10" ht="15.75" thickBot="1" x14ac:dyDescent="0.3">
      <c r="F49" s="243" t="s">
        <v>190</v>
      </c>
      <c r="G49" s="244"/>
      <c r="H49" s="244"/>
      <c r="I49" s="244"/>
      <c r="J49" s="245"/>
    </row>
    <row r="50" spans="6:10" x14ac:dyDescent="0.25">
      <c r="F50" s="246" t="s">
        <v>182</v>
      </c>
      <c r="G50" s="247"/>
      <c r="H50" s="247"/>
      <c r="I50" s="247"/>
      <c r="J50" s="181">
        <v>18</v>
      </c>
    </row>
    <row r="51" spans="6:10" x14ac:dyDescent="0.25">
      <c r="F51" s="236" t="s">
        <v>177</v>
      </c>
      <c r="G51" s="237"/>
      <c r="H51" s="237"/>
      <c r="I51" s="237"/>
      <c r="J51" s="182">
        <v>10</v>
      </c>
    </row>
    <row r="52" spans="6:10" x14ac:dyDescent="0.25">
      <c r="F52" s="236" t="s">
        <v>183</v>
      </c>
      <c r="G52" s="237"/>
      <c r="H52" s="237"/>
      <c r="I52" s="237"/>
      <c r="J52" s="182">
        <v>15</v>
      </c>
    </row>
    <row r="53" spans="6:10" x14ac:dyDescent="0.25">
      <c r="F53" s="236" t="s">
        <v>184</v>
      </c>
      <c r="G53" s="237"/>
      <c r="H53" s="237"/>
      <c r="I53" s="237"/>
      <c r="J53" s="182">
        <v>60</v>
      </c>
    </row>
    <row r="54" spans="6:10" x14ac:dyDescent="0.25">
      <c r="F54" s="236" t="s">
        <v>185</v>
      </c>
      <c r="G54" s="237"/>
      <c r="H54" s="237"/>
      <c r="I54" s="237"/>
      <c r="J54" s="182">
        <v>60</v>
      </c>
    </row>
    <row r="55" spans="6:10" x14ac:dyDescent="0.25">
      <c r="F55" s="236" t="s">
        <v>186</v>
      </c>
      <c r="G55" s="237"/>
      <c r="H55" s="237"/>
      <c r="I55" s="237"/>
      <c r="J55" s="182">
        <v>15</v>
      </c>
    </row>
    <row r="56" spans="6:10" x14ac:dyDescent="0.25">
      <c r="F56" s="238" t="s">
        <v>176</v>
      </c>
      <c r="G56" s="239"/>
      <c r="H56" s="239"/>
      <c r="I56" s="239"/>
      <c r="J56" s="183">
        <f>B12/B4</f>
        <v>26</v>
      </c>
    </row>
    <row r="57" spans="6:10" x14ac:dyDescent="0.25">
      <c r="F57" s="238" t="s">
        <v>178</v>
      </c>
      <c r="G57" s="239"/>
      <c r="H57" s="239"/>
      <c r="I57" s="239"/>
      <c r="J57" s="183">
        <f>J56*(J51-1)</f>
        <v>234</v>
      </c>
    </row>
    <row r="58" spans="6:10" x14ac:dyDescent="0.25">
      <c r="F58" s="238" t="s">
        <v>179</v>
      </c>
      <c r="G58" s="239"/>
      <c r="H58" s="239"/>
      <c r="I58" s="239"/>
      <c r="J58" s="183">
        <f>J52+J53+J54+J55+J57</f>
        <v>384</v>
      </c>
    </row>
    <row r="59" spans="6:10" x14ac:dyDescent="0.25">
      <c r="F59" s="238" t="s">
        <v>180</v>
      </c>
      <c r="G59" s="239"/>
      <c r="H59" s="239"/>
      <c r="I59" s="239"/>
      <c r="J59" s="184">
        <f>J58/(J50*60)</f>
        <v>0.35555555555555557</v>
      </c>
    </row>
    <row r="60" spans="6:10" ht="15.75" thickBot="1" x14ac:dyDescent="0.3">
      <c r="F60" s="234" t="s">
        <v>181</v>
      </c>
      <c r="G60" s="235"/>
      <c r="H60" s="235"/>
      <c r="I60" s="235"/>
      <c r="J60" s="185">
        <f>1-J59</f>
        <v>0.64444444444444438</v>
      </c>
    </row>
  </sheetData>
  <mergeCells count="37">
    <mergeCell ref="F26:H26"/>
    <mergeCell ref="X26:Y26"/>
    <mergeCell ref="A1:D1"/>
    <mergeCell ref="F11:J11"/>
    <mergeCell ref="F15:J15"/>
    <mergeCell ref="W19:Y19"/>
    <mergeCell ref="F20:J20"/>
    <mergeCell ref="F22:G22"/>
    <mergeCell ref="F23:G23"/>
    <mergeCell ref="X23:Y23"/>
    <mergeCell ref="F24:G24"/>
    <mergeCell ref="X24:Y24"/>
    <mergeCell ref="X25:Y25"/>
    <mergeCell ref="K37:L37"/>
    <mergeCell ref="G27:H27"/>
    <mergeCell ref="G28:H28"/>
    <mergeCell ref="G29:H29"/>
    <mergeCell ref="G30:H30"/>
    <mergeCell ref="G31:H31"/>
    <mergeCell ref="AB31:AC31"/>
    <mergeCell ref="G32:H32"/>
    <mergeCell ref="G33:H33"/>
    <mergeCell ref="F35:J35"/>
    <mergeCell ref="K35:L35"/>
    <mergeCell ref="W31:AA31"/>
    <mergeCell ref="F60:I60"/>
    <mergeCell ref="F49:J49"/>
    <mergeCell ref="F50:I50"/>
    <mergeCell ref="F51:I51"/>
    <mergeCell ref="F52:I52"/>
    <mergeCell ref="F53:I53"/>
    <mergeCell ref="F54:I54"/>
    <mergeCell ref="F55:I55"/>
    <mergeCell ref="F56:I56"/>
    <mergeCell ref="F57:I57"/>
    <mergeCell ref="F58:I58"/>
    <mergeCell ref="F59:I59"/>
  </mergeCell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FD758E-BD7F-42E3-A460-6A46453B3E0E}">
  <sheetPr>
    <tabColor rgb="FF92D050"/>
  </sheetPr>
  <dimension ref="A1:M52"/>
  <sheetViews>
    <sheetView workbookViewId="0">
      <selection activeCell="J43" sqref="J43"/>
    </sheetView>
  </sheetViews>
  <sheetFormatPr defaultRowHeight="15" x14ac:dyDescent="0.25"/>
  <cols>
    <col min="1" max="1" width="55.85546875" bestFit="1" customWidth="1"/>
    <col min="2" max="2" width="9.140625" style="1"/>
    <col min="3" max="3" width="10" style="1" bestFit="1" customWidth="1"/>
    <col min="4" max="4" width="77.5703125" bestFit="1" customWidth="1"/>
    <col min="6" max="6" width="11.42578125" customWidth="1"/>
    <col min="7" max="7" width="13.7109375" customWidth="1"/>
  </cols>
  <sheetData>
    <row r="1" spans="1:13" ht="19.5" thickBot="1" x14ac:dyDescent="0.35">
      <c r="A1" s="257" t="s">
        <v>90</v>
      </c>
      <c r="B1" s="258"/>
      <c r="C1" s="258"/>
      <c r="D1" s="259"/>
    </row>
    <row r="2" spans="1:13" ht="15.75" thickBot="1" x14ac:dyDescent="0.3">
      <c r="A2" s="79" t="s">
        <v>94</v>
      </c>
      <c r="B2" s="64" t="s">
        <v>0</v>
      </c>
      <c r="C2" s="80" t="s">
        <v>29</v>
      </c>
      <c r="D2" s="81" t="s">
        <v>1</v>
      </c>
      <c r="K2" s="34" t="s">
        <v>61</v>
      </c>
      <c r="L2" s="35" t="s">
        <v>195</v>
      </c>
      <c r="M2" s="36">
        <v>44396</v>
      </c>
    </row>
    <row r="3" spans="1:13" x14ac:dyDescent="0.25">
      <c r="A3" s="65" t="s">
        <v>134</v>
      </c>
      <c r="B3" s="66">
        <v>75</v>
      </c>
      <c r="C3" s="67" t="s">
        <v>33</v>
      </c>
      <c r="D3" s="68" t="s">
        <v>50</v>
      </c>
    </row>
    <row r="4" spans="1:13" x14ac:dyDescent="0.25">
      <c r="A4" s="12" t="s">
        <v>135</v>
      </c>
      <c r="B4" s="58">
        <v>7</v>
      </c>
      <c r="C4" s="2" t="s">
        <v>32</v>
      </c>
      <c r="D4" s="13" t="s">
        <v>51</v>
      </c>
    </row>
    <row r="5" spans="1:13" x14ac:dyDescent="0.25">
      <c r="A5" s="12" t="s">
        <v>136</v>
      </c>
      <c r="B5" s="58">
        <v>80</v>
      </c>
      <c r="C5" s="2" t="s">
        <v>34</v>
      </c>
      <c r="D5" s="13" t="s">
        <v>52</v>
      </c>
    </row>
    <row r="6" spans="1:13" x14ac:dyDescent="0.25">
      <c r="A6" s="12" t="s">
        <v>139</v>
      </c>
      <c r="B6" s="99">
        <v>0.25</v>
      </c>
      <c r="C6" s="2" t="s">
        <v>137</v>
      </c>
      <c r="D6" s="13" t="s">
        <v>138</v>
      </c>
    </row>
    <row r="7" spans="1:13" x14ac:dyDescent="0.25">
      <c r="A7" s="14" t="s">
        <v>140</v>
      </c>
      <c r="B7" s="100">
        <f>2*$B$22*TAN(($B$24/2)*PI()/180)</f>
        <v>125.86494467659199</v>
      </c>
      <c r="C7" s="2" t="s">
        <v>33</v>
      </c>
      <c r="D7" s="13"/>
    </row>
    <row r="8" spans="1:13" x14ac:dyDescent="0.25">
      <c r="A8" s="14" t="s">
        <v>144</v>
      </c>
      <c r="B8" s="101">
        <f>B7*(1-B6)</f>
        <v>94.398708507443985</v>
      </c>
      <c r="C8" s="2" t="s">
        <v>33</v>
      </c>
      <c r="D8" s="13"/>
    </row>
    <row r="9" spans="1:13" ht="15.75" customHeight="1" x14ac:dyDescent="0.25">
      <c r="A9" s="14" t="s">
        <v>142</v>
      </c>
      <c r="B9" s="4">
        <f>$B$29</f>
        <v>108.61326964175431</v>
      </c>
      <c r="C9" s="3" t="s">
        <v>60</v>
      </c>
      <c r="D9" s="13" t="s">
        <v>8</v>
      </c>
    </row>
    <row r="10" spans="1:13" ht="15.75" customHeight="1" x14ac:dyDescent="0.25">
      <c r="A10" s="14" t="s">
        <v>143</v>
      </c>
      <c r="B10" s="4">
        <f>B9*2</f>
        <v>217.22653928350863</v>
      </c>
      <c r="C10" s="3" t="s">
        <v>60</v>
      </c>
      <c r="D10" s="13" t="s">
        <v>8</v>
      </c>
    </row>
    <row r="11" spans="1:13" x14ac:dyDescent="0.25">
      <c r="A11" s="14" t="s">
        <v>48</v>
      </c>
      <c r="B11" s="4">
        <f>$B$30</f>
        <v>8.7545350386955807</v>
      </c>
      <c r="C11" s="3" t="s">
        <v>58</v>
      </c>
      <c r="D11" s="13" t="s">
        <v>141</v>
      </c>
    </row>
    <row r="12" spans="1:13" x14ac:dyDescent="0.25">
      <c r="A12" s="14" t="s">
        <v>49</v>
      </c>
      <c r="B12" s="4">
        <f>$B$31</f>
        <v>8.75</v>
      </c>
      <c r="C12" s="3" t="s">
        <v>58</v>
      </c>
      <c r="D12" s="13" t="s">
        <v>141</v>
      </c>
    </row>
    <row r="13" spans="1:13" x14ac:dyDescent="0.25">
      <c r="A13" s="14" t="s">
        <v>85</v>
      </c>
      <c r="B13" s="4">
        <f>B32</f>
        <v>31.500046305081685</v>
      </c>
      <c r="C13" s="3" t="s">
        <v>58</v>
      </c>
      <c r="D13" s="13" t="s">
        <v>87</v>
      </c>
    </row>
    <row r="14" spans="1:13" ht="15.75" thickBot="1" x14ac:dyDescent="0.3">
      <c r="A14" s="22" t="s">
        <v>86</v>
      </c>
      <c r="B14" s="77">
        <f>B33</f>
        <v>4.500000135000005</v>
      </c>
      <c r="C14" s="78" t="s">
        <v>58</v>
      </c>
      <c r="D14" s="70" t="s">
        <v>87</v>
      </c>
    </row>
    <row r="15" spans="1:13" ht="15.75" thickBot="1" x14ac:dyDescent="0.3">
      <c r="A15" s="29" t="s">
        <v>92</v>
      </c>
      <c r="B15" s="30" t="s">
        <v>0</v>
      </c>
      <c r="C15" s="30" t="s">
        <v>29</v>
      </c>
      <c r="D15" s="31" t="s">
        <v>1</v>
      </c>
    </row>
    <row r="16" spans="1:13" x14ac:dyDescent="0.25">
      <c r="A16" s="24" t="s">
        <v>35</v>
      </c>
      <c r="B16" s="9">
        <v>430.62400000000002</v>
      </c>
      <c r="C16" s="6" t="s">
        <v>30</v>
      </c>
      <c r="D16" s="16" t="s">
        <v>89</v>
      </c>
    </row>
    <row r="17" spans="1:13" ht="14.25" customHeight="1" thickBot="1" x14ac:dyDescent="0.3">
      <c r="A17" s="24" t="s">
        <v>37</v>
      </c>
      <c r="B17" s="6">
        <v>10</v>
      </c>
      <c r="C17" s="6" t="s">
        <v>31</v>
      </c>
      <c r="D17" s="13" t="s">
        <v>95</v>
      </c>
    </row>
    <row r="18" spans="1:13" ht="16.5" customHeight="1" thickBot="1" x14ac:dyDescent="0.3">
      <c r="A18" s="24" t="s">
        <v>83</v>
      </c>
      <c r="B18" s="6">
        <v>4.2</v>
      </c>
      <c r="C18" s="6" t="s">
        <v>77</v>
      </c>
      <c r="D18" s="13" t="s">
        <v>80</v>
      </c>
      <c r="F18" s="260" t="s">
        <v>98</v>
      </c>
      <c r="G18" s="255"/>
      <c r="H18" s="256"/>
    </row>
    <row r="19" spans="1:13" ht="15" customHeight="1" x14ac:dyDescent="0.25">
      <c r="A19" s="24" t="s">
        <v>84</v>
      </c>
      <c r="B19" s="6">
        <v>0.6</v>
      </c>
      <c r="C19" s="6" t="s">
        <v>77</v>
      </c>
      <c r="D19" s="13" t="s">
        <v>80</v>
      </c>
      <c r="F19" s="39">
        <f>$B$28</f>
        <v>881.05461273614389</v>
      </c>
      <c r="G19" s="261" t="s">
        <v>68</v>
      </c>
      <c r="H19" s="262"/>
    </row>
    <row r="20" spans="1:13" ht="15.75" customHeight="1" thickBot="1" x14ac:dyDescent="0.3">
      <c r="A20" s="25" t="s">
        <v>10</v>
      </c>
      <c r="B20" s="26">
        <v>8</v>
      </c>
      <c r="C20" s="28" t="s">
        <v>47</v>
      </c>
      <c r="D20" s="27" t="s">
        <v>96</v>
      </c>
      <c r="F20" s="39">
        <f>F19*60</f>
        <v>52863.276764168637</v>
      </c>
      <c r="G20" s="248" t="s">
        <v>62</v>
      </c>
      <c r="H20" s="249"/>
    </row>
    <row r="21" spans="1:13" ht="18" thickBot="1" x14ac:dyDescent="0.3">
      <c r="A21" s="29" t="s">
        <v>93</v>
      </c>
      <c r="B21" s="30" t="s">
        <v>0</v>
      </c>
      <c r="C21" s="30" t="s">
        <v>29</v>
      </c>
      <c r="D21" s="31" t="s">
        <v>1</v>
      </c>
      <c r="F21" s="59">
        <f>F20/1000000</f>
        <v>5.2863276764168639E-2</v>
      </c>
      <c r="G21" s="248" t="s">
        <v>63</v>
      </c>
      <c r="H21" s="249"/>
    </row>
    <row r="22" spans="1:13" ht="17.25" x14ac:dyDescent="0.25">
      <c r="A22" s="71" t="s">
        <v>38</v>
      </c>
      <c r="B22" s="72">
        <f>$B$3</f>
        <v>75</v>
      </c>
      <c r="C22" s="73" t="s">
        <v>33</v>
      </c>
      <c r="D22" s="16" t="s">
        <v>97</v>
      </c>
      <c r="F22" s="37">
        <f>F21*60</f>
        <v>3.1717966058501181</v>
      </c>
      <c r="G22" s="248" t="s">
        <v>64</v>
      </c>
      <c r="H22" s="249"/>
    </row>
    <row r="23" spans="1:13" ht="17.25" x14ac:dyDescent="0.25">
      <c r="A23" s="15" t="s">
        <v>3</v>
      </c>
      <c r="B23" s="5">
        <f>$B$4</f>
        <v>7</v>
      </c>
      <c r="C23" s="6" t="s">
        <v>32</v>
      </c>
      <c r="D23" s="16" t="s">
        <v>97</v>
      </c>
      <c r="F23" s="37">
        <f>F22*0.386102</f>
        <v>1.2246370131119424</v>
      </c>
      <c r="G23" s="248" t="s">
        <v>65</v>
      </c>
      <c r="H23" s="249"/>
    </row>
    <row r="24" spans="1:13" x14ac:dyDescent="0.25">
      <c r="A24" s="15" t="s">
        <v>36</v>
      </c>
      <c r="B24" s="5">
        <f>$B$5</f>
        <v>80</v>
      </c>
      <c r="C24" s="6" t="s">
        <v>34</v>
      </c>
      <c r="D24" s="16" t="s">
        <v>97</v>
      </c>
      <c r="F24" s="39">
        <f>F22*247.105</f>
        <v>783.76680028859346</v>
      </c>
      <c r="G24" s="248" t="s">
        <v>66</v>
      </c>
      <c r="H24" s="249"/>
    </row>
    <row r="25" spans="1:13" ht="15.75" thickBot="1" x14ac:dyDescent="0.3">
      <c r="A25" s="15" t="s">
        <v>39</v>
      </c>
      <c r="B25" s="7">
        <f>$B$24/360*$B$16</f>
        <v>95.694222222222223</v>
      </c>
      <c r="C25" s="6" t="s">
        <v>30</v>
      </c>
      <c r="D25" s="13" t="s">
        <v>6</v>
      </c>
      <c r="F25" s="82">
        <f>F22*100</f>
        <v>317.17966058501179</v>
      </c>
      <c r="G25" s="250" t="s">
        <v>67</v>
      </c>
      <c r="H25" s="251"/>
    </row>
    <row r="26" spans="1:13" ht="15.75" thickBot="1" x14ac:dyDescent="0.3">
      <c r="A26" s="15" t="s">
        <v>40</v>
      </c>
      <c r="B26" s="7">
        <f>2*$B$22*TAN(($B$24/2)*PI()/180)</f>
        <v>125.86494467659199</v>
      </c>
      <c r="C26" s="6" t="s">
        <v>33</v>
      </c>
      <c r="D26" s="13" t="s">
        <v>7</v>
      </c>
    </row>
    <row r="27" spans="1:13" ht="15.75" thickBot="1" x14ac:dyDescent="0.3">
      <c r="A27" s="15" t="s">
        <v>41</v>
      </c>
      <c r="B27" s="5">
        <f>$B$23</f>
        <v>7</v>
      </c>
      <c r="C27" s="6" t="s">
        <v>33</v>
      </c>
      <c r="D27" s="13" t="s">
        <v>3</v>
      </c>
      <c r="F27" s="252" t="s">
        <v>72</v>
      </c>
      <c r="G27" s="253"/>
      <c r="H27" s="253"/>
      <c r="I27" s="253"/>
      <c r="J27" s="254"/>
      <c r="K27" s="255" t="s">
        <v>75</v>
      </c>
      <c r="L27" s="256"/>
      <c r="M27" s="160" t="s">
        <v>189</v>
      </c>
    </row>
    <row r="28" spans="1:13" ht="18" thickBot="1" x14ac:dyDescent="0.3">
      <c r="A28" s="15" t="s">
        <v>42</v>
      </c>
      <c r="B28" s="7">
        <f>$B$26*$B$27</f>
        <v>881.05461273614389</v>
      </c>
      <c r="C28" s="6" t="s">
        <v>53</v>
      </c>
      <c r="D28" s="13" t="s">
        <v>2</v>
      </c>
      <c r="F28" s="166" t="s">
        <v>69</v>
      </c>
      <c r="G28" s="69" t="s">
        <v>70</v>
      </c>
      <c r="H28" s="69" t="s">
        <v>71</v>
      </c>
      <c r="I28" s="69" t="s">
        <v>73</v>
      </c>
      <c r="J28" s="172" t="s">
        <v>74</v>
      </c>
      <c r="K28" s="162" t="s">
        <v>76</v>
      </c>
      <c r="L28" s="163">
        <f>B6*M28</f>
        <v>0.25</v>
      </c>
      <c r="M28">
        <v>1</v>
      </c>
    </row>
    <row r="29" spans="1:13" ht="16.5" customHeight="1" thickBot="1" x14ac:dyDescent="0.3">
      <c r="A29" s="15" t="s">
        <v>43</v>
      </c>
      <c r="B29" s="7">
        <f>$B$25*1000/$B$28</f>
        <v>108.61326964175431</v>
      </c>
      <c r="C29" s="6" t="s">
        <v>54</v>
      </c>
      <c r="D29" s="13" t="s">
        <v>4</v>
      </c>
      <c r="F29" s="178">
        <f>J42</f>
        <v>18</v>
      </c>
      <c r="G29" s="179">
        <f>$F$24/60*F29*(1-$L$28)*(1-$L$30)</f>
        <v>148.3654603159662</v>
      </c>
      <c r="H29" s="179">
        <f>$F$25/60*F29*(1-$L$28)*(1-$L$30)</f>
        <v>60.041464282781071</v>
      </c>
      <c r="I29" s="179">
        <f>$F$22/60*F29*(1-$L$28)*(1-$L$30)</f>
        <v>0.60041464282781076</v>
      </c>
      <c r="J29" s="180">
        <f>$F$23/60*F29*(1-$L$28)*(1-$L$30)</f>
        <v>0.23182129442510341</v>
      </c>
      <c r="K29" s="243" t="s">
        <v>187</v>
      </c>
      <c r="L29" s="245"/>
      <c r="M29" s="160" t="s">
        <v>189</v>
      </c>
    </row>
    <row r="30" spans="1:13" ht="15.75" thickBot="1" x14ac:dyDescent="0.3">
      <c r="A30" s="60" t="s">
        <v>44</v>
      </c>
      <c r="B30" s="61">
        <f>$B$39</f>
        <v>8.7545350386955807</v>
      </c>
      <c r="C30" s="62" t="s">
        <v>58</v>
      </c>
      <c r="D30" s="63" t="s">
        <v>23</v>
      </c>
      <c r="F30" s="169">
        <v>5</v>
      </c>
      <c r="G30" s="170">
        <f t="shared" ref="G30:G39" si="0">$F$24/60*F30*(1-$L$28)*(1-$L$30)</f>
        <v>41.21262786554616</v>
      </c>
      <c r="H30" s="170">
        <f t="shared" ref="H30:H39" si="1">$F$25/60*F30*(1-$L$28)*(1-$L$30)</f>
        <v>16.678184522994741</v>
      </c>
      <c r="I30" s="170">
        <f t="shared" ref="I30:I39" si="2">$F$22/60*F30*(1-$L$28)*(1-$L$30)</f>
        <v>0.16678184522994746</v>
      </c>
      <c r="J30" s="171">
        <f t="shared" ref="J30:J39" si="3">$F$23/60*F30*(1-$L$28)*(1-$L$30)</f>
        <v>6.4394804006973172E-2</v>
      </c>
      <c r="K30" s="176" t="s">
        <v>188</v>
      </c>
      <c r="L30" s="177">
        <f>J51*M30</f>
        <v>0.15867571118611057</v>
      </c>
      <c r="M30">
        <v>1</v>
      </c>
    </row>
    <row r="31" spans="1:13" x14ac:dyDescent="0.25">
      <c r="A31" s="15" t="s">
        <v>45</v>
      </c>
      <c r="B31" s="7">
        <f>$B$41</f>
        <v>8.75</v>
      </c>
      <c r="C31" s="6" t="s">
        <v>58</v>
      </c>
      <c r="D31" s="13" t="s">
        <v>24</v>
      </c>
      <c r="F31" s="164">
        <v>10</v>
      </c>
      <c r="G31" s="161">
        <f t="shared" si="0"/>
        <v>82.425255731092321</v>
      </c>
      <c r="H31" s="161">
        <f t="shared" si="1"/>
        <v>33.356369045989481</v>
      </c>
      <c r="I31" s="161">
        <f t="shared" si="2"/>
        <v>0.33356369045989492</v>
      </c>
      <c r="J31" s="165">
        <f t="shared" si="3"/>
        <v>0.12878960801394634</v>
      </c>
    </row>
    <row r="32" spans="1:13" x14ac:dyDescent="0.25">
      <c r="A32" s="15" t="s">
        <v>78</v>
      </c>
      <c r="B32" s="7">
        <f>2*($B$3*TAN((B18/2)/1000))*100</f>
        <v>31.500046305081685</v>
      </c>
      <c r="C32" s="6" t="s">
        <v>58</v>
      </c>
      <c r="D32" s="13" t="s">
        <v>81</v>
      </c>
      <c r="F32" s="164">
        <v>15</v>
      </c>
      <c r="G32" s="161">
        <f t="shared" si="0"/>
        <v>123.63788359663849</v>
      </c>
      <c r="H32" s="161">
        <f t="shared" si="1"/>
        <v>50.034553568984229</v>
      </c>
      <c r="I32" s="161">
        <f t="shared" si="2"/>
        <v>0.5003455356898423</v>
      </c>
      <c r="J32" s="165">
        <f t="shared" si="3"/>
        <v>0.19318441202091952</v>
      </c>
    </row>
    <row r="33" spans="1:10" ht="15.75" customHeight="1" thickBot="1" x14ac:dyDescent="0.3">
      <c r="A33" s="23" t="s">
        <v>79</v>
      </c>
      <c r="B33" s="7">
        <f>2*($B$3*TAN((B19/2)/1000))*100</f>
        <v>4.500000135000005</v>
      </c>
      <c r="C33" s="69" t="s">
        <v>58</v>
      </c>
      <c r="D33" s="21" t="s">
        <v>82</v>
      </c>
      <c r="F33" s="164">
        <v>20</v>
      </c>
      <c r="G33" s="161">
        <f t="shared" si="0"/>
        <v>164.85051146218464</v>
      </c>
      <c r="H33" s="161">
        <f t="shared" si="1"/>
        <v>66.712738091978963</v>
      </c>
      <c r="I33" s="161">
        <f t="shared" si="2"/>
        <v>0.66712738091978985</v>
      </c>
      <c r="J33" s="165">
        <f t="shared" si="3"/>
        <v>0.25757921602789269</v>
      </c>
    </row>
    <row r="34" spans="1:10" ht="14.25" customHeight="1" thickBot="1" x14ac:dyDescent="0.3">
      <c r="A34" s="240" t="s">
        <v>20</v>
      </c>
      <c r="B34" s="241"/>
      <c r="C34" s="241"/>
      <c r="D34" s="242"/>
      <c r="F34" s="164">
        <v>25</v>
      </c>
      <c r="G34" s="161">
        <f t="shared" si="0"/>
        <v>206.0631393277308</v>
      </c>
      <c r="H34" s="161">
        <f t="shared" si="1"/>
        <v>83.390922614973718</v>
      </c>
      <c r="I34" s="161">
        <f t="shared" si="2"/>
        <v>0.83390922614973728</v>
      </c>
      <c r="J34" s="165">
        <f t="shared" si="3"/>
        <v>0.32197402003486586</v>
      </c>
    </row>
    <row r="35" spans="1:10" ht="15" customHeight="1" x14ac:dyDescent="0.25">
      <c r="A35" s="15" t="s">
        <v>11</v>
      </c>
      <c r="B35" s="7">
        <f>$B$16/$B$20</f>
        <v>53.828000000000003</v>
      </c>
      <c r="C35" s="6" t="s">
        <v>30</v>
      </c>
      <c r="D35" s="13" t="s">
        <v>25</v>
      </c>
      <c r="F35" s="164">
        <v>30</v>
      </c>
      <c r="G35" s="161">
        <f t="shared" si="0"/>
        <v>247.27576719327698</v>
      </c>
      <c r="H35" s="161">
        <f t="shared" si="1"/>
        <v>100.06910713796846</v>
      </c>
      <c r="I35" s="161">
        <f t="shared" si="2"/>
        <v>1.0006910713796846</v>
      </c>
      <c r="J35" s="165">
        <f t="shared" si="3"/>
        <v>0.38636882404183903</v>
      </c>
    </row>
    <row r="36" spans="1:10" ht="14.25" customHeight="1" thickBot="1" x14ac:dyDescent="0.3">
      <c r="A36" s="15" t="s">
        <v>12</v>
      </c>
      <c r="B36" s="7">
        <f>$B$24/360*$B$35</f>
        <v>11.961777777777778</v>
      </c>
      <c r="C36" s="6" t="s">
        <v>30</v>
      </c>
      <c r="D36" s="13" t="s">
        <v>15</v>
      </c>
      <c r="F36" s="173">
        <v>45</v>
      </c>
      <c r="G36" s="174">
        <f t="shared" si="0"/>
        <v>370.91365078991544</v>
      </c>
      <c r="H36" s="174">
        <f t="shared" si="1"/>
        <v>150.1036607069527</v>
      </c>
      <c r="I36" s="174">
        <f>$F$22/60*F36*(1-$L$28)*(1-$L$30)</f>
        <v>1.5010366070695269</v>
      </c>
      <c r="J36" s="175">
        <f t="shared" si="3"/>
        <v>0.57955323606275844</v>
      </c>
    </row>
    <row r="37" spans="1:10" ht="14.25" customHeight="1" thickBot="1" x14ac:dyDescent="0.3">
      <c r="A37" s="15" t="s">
        <v>21</v>
      </c>
      <c r="B37" s="7">
        <f>$B$36*1000/$B$28</f>
        <v>13.576658705219289</v>
      </c>
      <c r="C37" s="8" t="s">
        <v>54</v>
      </c>
      <c r="D37" s="13" t="s">
        <v>22</v>
      </c>
      <c r="F37" s="178">
        <v>60</v>
      </c>
      <c r="G37" s="179">
        <f t="shared" si="0"/>
        <v>494.55153438655395</v>
      </c>
      <c r="H37" s="179">
        <f t="shared" si="1"/>
        <v>200.13821427593692</v>
      </c>
      <c r="I37" s="179">
        <f t="shared" si="2"/>
        <v>2.0013821427593692</v>
      </c>
      <c r="J37" s="180">
        <f t="shared" si="3"/>
        <v>0.77273764808367806</v>
      </c>
    </row>
    <row r="38" spans="1:10" ht="14.25" customHeight="1" x14ac:dyDescent="0.25">
      <c r="A38" s="15" t="s">
        <v>56</v>
      </c>
      <c r="B38" s="32">
        <f>(360*$B$17)/($B$35*1000)</f>
        <v>6.6879690867206659E-2</v>
      </c>
      <c r="C38" s="8" t="s">
        <v>57</v>
      </c>
      <c r="D38" s="13" t="s">
        <v>55</v>
      </c>
      <c r="F38" s="169">
        <v>75</v>
      </c>
      <c r="G38" s="170">
        <f t="shared" si="0"/>
        <v>618.18941798319247</v>
      </c>
      <c r="H38" s="170">
        <f t="shared" si="1"/>
        <v>250.17276784492111</v>
      </c>
      <c r="I38" s="170">
        <f t="shared" si="2"/>
        <v>2.5017276784492117</v>
      </c>
      <c r="J38" s="171">
        <f t="shared" si="3"/>
        <v>0.96592206010459758</v>
      </c>
    </row>
    <row r="39" spans="1:10" ht="15.75" thickBot="1" x14ac:dyDescent="0.3">
      <c r="A39" s="15" t="s">
        <v>13</v>
      </c>
      <c r="B39" s="7">
        <f>$B$22*TAN(($B$38)*PI()/180)*100</f>
        <v>8.7545350386955807</v>
      </c>
      <c r="C39" s="9" t="s">
        <v>58</v>
      </c>
      <c r="D39" s="33" t="s">
        <v>59</v>
      </c>
      <c r="F39" s="166">
        <v>90</v>
      </c>
      <c r="G39" s="167">
        <f t="shared" si="0"/>
        <v>741.82730157983087</v>
      </c>
      <c r="H39" s="167">
        <f t="shared" si="1"/>
        <v>300.20732141390539</v>
      </c>
      <c r="I39" s="167">
        <f t="shared" si="2"/>
        <v>3.0020732141390538</v>
      </c>
      <c r="J39" s="168">
        <f t="shared" si="3"/>
        <v>1.1591064721255169</v>
      </c>
    </row>
    <row r="40" spans="1:10" ht="15.75" thickBot="1" x14ac:dyDescent="0.3">
      <c r="A40" s="15" t="s">
        <v>14</v>
      </c>
      <c r="B40" s="7">
        <f>$B$23/$B$17*100</f>
        <v>70</v>
      </c>
      <c r="C40" s="9" t="s">
        <v>58</v>
      </c>
      <c r="D40" s="13" t="s">
        <v>5</v>
      </c>
    </row>
    <row r="41" spans="1:10" ht="15.75" thickBot="1" x14ac:dyDescent="0.3">
      <c r="A41" s="15" t="s">
        <v>9</v>
      </c>
      <c r="B41" s="7">
        <f>$B$23/$B$17/$B$20*100</f>
        <v>8.75</v>
      </c>
      <c r="C41" s="9" t="s">
        <v>58</v>
      </c>
      <c r="D41" s="13" t="s">
        <v>17</v>
      </c>
      <c r="F41" s="243" t="s">
        <v>190</v>
      </c>
      <c r="G41" s="244"/>
      <c r="H41" s="244"/>
      <c r="I41" s="244"/>
      <c r="J41" s="245"/>
    </row>
    <row r="42" spans="1:10" x14ac:dyDescent="0.25">
      <c r="A42" s="17" t="s">
        <v>16</v>
      </c>
      <c r="B42" s="10">
        <f>2*$B$22*TAN((3.2/2)*PI()/180)</f>
        <v>4.1898793794881239</v>
      </c>
      <c r="C42" s="8" t="s">
        <v>33</v>
      </c>
      <c r="D42" s="13" t="s">
        <v>28</v>
      </c>
      <c r="F42" s="246" t="s">
        <v>182</v>
      </c>
      <c r="G42" s="247"/>
      <c r="H42" s="247"/>
      <c r="I42" s="247"/>
      <c r="J42" s="181">
        <v>18</v>
      </c>
    </row>
    <row r="43" spans="1:10" x14ac:dyDescent="0.25">
      <c r="A43" s="17" t="s">
        <v>18</v>
      </c>
      <c r="B43" s="11">
        <f>$B$42/($B$40/100)</f>
        <v>5.9855419706973203</v>
      </c>
      <c r="C43" s="9" t="s">
        <v>47</v>
      </c>
      <c r="D43" s="13" t="s">
        <v>26</v>
      </c>
      <c r="F43" s="236" t="s">
        <v>177</v>
      </c>
      <c r="G43" s="237"/>
      <c r="H43" s="237"/>
      <c r="I43" s="237"/>
      <c r="J43" s="182">
        <v>10</v>
      </c>
    </row>
    <row r="44" spans="1:10" ht="15" customHeight="1" thickBot="1" x14ac:dyDescent="0.3">
      <c r="A44" s="18" t="s">
        <v>19</v>
      </c>
      <c r="B44" s="19">
        <f>B43/B17</f>
        <v>0.59855419706973201</v>
      </c>
      <c r="C44" s="20" t="s">
        <v>46</v>
      </c>
      <c r="D44" s="21" t="s">
        <v>27</v>
      </c>
      <c r="F44" s="236" t="s">
        <v>183</v>
      </c>
      <c r="G44" s="237"/>
      <c r="H44" s="237"/>
      <c r="I44" s="237"/>
      <c r="J44" s="182">
        <v>15</v>
      </c>
    </row>
    <row r="45" spans="1:10" ht="15" customHeight="1" x14ac:dyDescent="0.25">
      <c r="F45" s="236" t="s">
        <v>184</v>
      </c>
      <c r="G45" s="237"/>
      <c r="H45" s="237"/>
      <c r="I45" s="237"/>
      <c r="J45" s="182">
        <v>10</v>
      </c>
    </row>
    <row r="46" spans="1:10" x14ac:dyDescent="0.25">
      <c r="F46" s="236" t="s">
        <v>185</v>
      </c>
      <c r="G46" s="237"/>
      <c r="H46" s="237"/>
      <c r="I46" s="237"/>
      <c r="J46" s="182">
        <v>10</v>
      </c>
    </row>
    <row r="47" spans="1:10" x14ac:dyDescent="0.25">
      <c r="F47" s="236" t="s">
        <v>186</v>
      </c>
      <c r="G47" s="237"/>
      <c r="H47" s="237"/>
      <c r="I47" s="237"/>
      <c r="J47" s="182">
        <v>15</v>
      </c>
    </row>
    <row r="48" spans="1:10" x14ac:dyDescent="0.25">
      <c r="F48" s="238" t="s">
        <v>176</v>
      </c>
      <c r="G48" s="239"/>
      <c r="H48" s="239"/>
      <c r="I48" s="239"/>
      <c r="J48" s="183">
        <f>B8/B4</f>
        <v>13.485529786777713</v>
      </c>
    </row>
    <row r="49" spans="6:10" x14ac:dyDescent="0.25">
      <c r="F49" s="238" t="s">
        <v>178</v>
      </c>
      <c r="G49" s="239"/>
      <c r="H49" s="239"/>
      <c r="I49" s="239"/>
      <c r="J49" s="183">
        <f>J48*(J43-1)</f>
        <v>121.36976808099942</v>
      </c>
    </row>
    <row r="50" spans="6:10" x14ac:dyDescent="0.25">
      <c r="F50" s="238" t="s">
        <v>179</v>
      </c>
      <c r="G50" s="239"/>
      <c r="H50" s="239"/>
      <c r="I50" s="239"/>
      <c r="J50" s="183">
        <f>J44+J45+J46+J47+J49</f>
        <v>171.36976808099942</v>
      </c>
    </row>
    <row r="51" spans="6:10" x14ac:dyDescent="0.25">
      <c r="F51" s="238" t="s">
        <v>180</v>
      </c>
      <c r="G51" s="239"/>
      <c r="H51" s="239"/>
      <c r="I51" s="239"/>
      <c r="J51" s="184">
        <f>J50/(J42*60)</f>
        <v>0.15867571118611057</v>
      </c>
    </row>
    <row r="52" spans="6:10" ht="15.75" thickBot="1" x14ac:dyDescent="0.3">
      <c r="F52" s="234" t="s">
        <v>181</v>
      </c>
      <c r="G52" s="235"/>
      <c r="H52" s="235"/>
      <c r="I52" s="235"/>
      <c r="J52" s="185">
        <f>1-J51</f>
        <v>0.84132428881388943</v>
      </c>
    </row>
  </sheetData>
  <mergeCells count="25">
    <mergeCell ref="F52:I52"/>
    <mergeCell ref="F50:I50"/>
    <mergeCell ref="K29:L29"/>
    <mergeCell ref="F41:J41"/>
    <mergeCell ref="F47:I47"/>
    <mergeCell ref="F48:I48"/>
    <mergeCell ref="F43:I43"/>
    <mergeCell ref="F49:I49"/>
    <mergeCell ref="F51:I51"/>
    <mergeCell ref="F42:I42"/>
    <mergeCell ref="F44:I44"/>
    <mergeCell ref="F45:I45"/>
    <mergeCell ref="F46:I46"/>
    <mergeCell ref="K27:L27"/>
    <mergeCell ref="F27:J27"/>
    <mergeCell ref="A34:D34"/>
    <mergeCell ref="A1:D1"/>
    <mergeCell ref="F18:H18"/>
    <mergeCell ref="G19:H19"/>
    <mergeCell ref="G20:H20"/>
    <mergeCell ref="G21:H21"/>
    <mergeCell ref="G22:H22"/>
    <mergeCell ref="G23:H23"/>
    <mergeCell ref="G24:H24"/>
    <mergeCell ref="G25:H25"/>
  </mergeCells>
  <phoneticPr fontId="14" type="noConversion"/>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38A88B-910C-4019-A780-400C4AACD7D7}">
  <sheetPr>
    <tabColor rgb="FF00B050"/>
  </sheetPr>
  <dimension ref="A1:M93"/>
  <sheetViews>
    <sheetView workbookViewId="0">
      <selection activeCell="B17" sqref="B17"/>
    </sheetView>
  </sheetViews>
  <sheetFormatPr defaultRowHeight="15" x14ac:dyDescent="0.25"/>
  <cols>
    <col min="1" max="1" width="55.85546875" bestFit="1" customWidth="1"/>
    <col min="2" max="2" width="9.140625" style="1"/>
    <col min="3" max="3" width="10" style="1" bestFit="1" customWidth="1"/>
    <col min="4" max="4" width="77.5703125" bestFit="1" customWidth="1"/>
    <col min="6" max="6" width="11.42578125" customWidth="1"/>
    <col min="7" max="7" width="13.7109375" customWidth="1"/>
    <col min="10" max="10" width="9.5703125" bestFit="1" customWidth="1"/>
  </cols>
  <sheetData>
    <row r="1" spans="1:13" ht="19.5" thickBot="1" x14ac:dyDescent="0.35">
      <c r="A1" s="257" t="s">
        <v>191</v>
      </c>
      <c r="B1" s="258"/>
      <c r="C1" s="258"/>
      <c r="D1" s="259"/>
    </row>
    <row r="2" spans="1:13" ht="15.75" thickBot="1" x14ac:dyDescent="0.3">
      <c r="A2" s="79" t="s">
        <v>94</v>
      </c>
      <c r="B2" s="64" t="s">
        <v>0</v>
      </c>
      <c r="C2" s="80" t="s">
        <v>29</v>
      </c>
      <c r="D2" s="81" t="s">
        <v>1</v>
      </c>
      <c r="K2" s="34" t="s">
        <v>61</v>
      </c>
      <c r="L2" s="35" t="s">
        <v>231</v>
      </c>
      <c r="M2" s="36">
        <v>44841</v>
      </c>
    </row>
    <row r="3" spans="1:13" x14ac:dyDescent="0.25">
      <c r="A3" s="65" t="s">
        <v>134</v>
      </c>
      <c r="B3" s="66">
        <v>50</v>
      </c>
      <c r="C3" s="67" t="s">
        <v>33</v>
      </c>
      <c r="D3" s="68" t="s">
        <v>192</v>
      </c>
    </row>
    <row r="4" spans="1:13" x14ac:dyDescent="0.25">
      <c r="A4" s="12" t="s">
        <v>135</v>
      </c>
      <c r="B4" s="58">
        <v>5</v>
      </c>
      <c r="C4" s="2" t="s">
        <v>32</v>
      </c>
      <c r="D4" s="13" t="s">
        <v>51</v>
      </c>
    </row>
    <row r="5" spans="1:13" x14ac:dyDescent="0.25">
      <c r="A5" s="12" t="s">
        <v>136</v>
      </c>
      <c r="B5" s="58">
        <v>90</v>
      </c>
      <c r="C5" s="2" t="s">
        <v>34</v>
      </c>
      <c r="D5" s="13" t="s">
        <v>52</v>
      </c>
    </row>
    <row r="6" spans="1:13" x14ac:dyDescent="0.25">
      <c r="A6" s="12" t="s">
        <v>139</v>
      </c>
      <c r="B6" s="99">
        <v>0.3</v>
      </c>
      <c r="C6" s="2" t="s">
        <v>137</v>
      </c>
      <c r="D6" s="13" t="s">
        <v>138</v>
      </c>
    </row>
    <row r="7" spans="1:13" x14ac:dyDescent="0.25">
      <c r="A7" s="14" t="s">
        <v>140</v>
      </c>
      <c r="B7" s="100">
        <f>2*$B$22*TAN(($B$24/2)*PI()/180)</f>
        <v>99.999999999999986</v>
      </c>
      <c r="C7" s="2" t="s">
        <v>33</v>
      </c>
      <c r="D7" s="13"/>
    </row>
    <row r="8" spans="1:13" x14ac:dyDescent="0.25">
      <c r="A8" s="14" t="s">
        <v>144</v>
      </c>
      <c r="B8" s="101">
        <f>B7*(1-B6)</f>
        <v>69.999999999999986</v>
      </c>
      <c r="C8" s="2" t="s">
        <v>33</v>
      </c>
      <c r="D8" s="13"/>
    </row>
    <row r="9" spans="1:13" ht="15.75" customHeight="1" x14ac:dyDescent="0.25">
      <c r="A9" s="14" t="s">
        <v>142</v>
      </c>
      <c r="B9" s="4">
        <f>$B$29</f>
        <v>160.00000000000003</v>
      </c>
      <c r="C9" s="3" t="s">
        <v>60</v>
      </c>
      <c r="D9" s="13" t="s">
        <v>8</v>
      </c>
    </row>
    <row r="10" spans="1:13" ht="15.75" customHeight="1" x14ac:dyDescent="0.25">
      <c r="A10" s="14" t="s">
        <v>143</v>
      </c>
      <c r="B10" s="4">
        <f>B9*2</f>
        <v>320.00000000000006</v>
      </c>
      <c r="C10" s="3" t="s">
        <v>60</v>
      </c>
      <c r="D10" s="13" t="s">
        <v>8</v>
      </c>
    </row>
    <row r="11" spans="1:13" x14ac:dyDescent="0.25">
      <c r="A11" s="14" t="s">
        <v>48</v>
      </c>
      <c r="B11" s="4">
        <f>$B$30</f>
        <v>15.708014945280782</v>
      </c>
      <c r="C11" s="3" t="s">
        <v>58</v>
      </c>
      <c r="D11" s="13" t="s">
        <v>141</v>
      </c>
    </row>
    <row r="12" spans="1:13" x14ac:dyDescent="0.25">
      <c r="A12" s="14" t="s">
        <v>49</v>
      </c>
      <c r="B12" s="4">
        <f>$B$31</f>
        <v>3.125</v>
      </c>
      <c r="C12" s="3" t="s">
        <v>58</v>
      </c>
      <c r="D12" s="13" t="s">
        <v>141</v>
      </c>
    </row>
    <row r="13" spans="1:13" x14ac:dyDescent="0.25">
      <c r="A13" s="14" t="s">
        <v>85</v>
      </c>
      <c r="B13" s="4">
        <f>B32</f>
        <v>7.6000014632536725</v>
      </c>
      <c r="C13" s="3" t="s">
        <v>58</v>
      </c>
      <c r="D13" s="13" t="s">
        <v>87</v>
      </c>
    </row>
    <row r="14" spans="1:13" ht="15.75" thickBot="1" x14ac:dyDescent="0.3">
      <c r="A14" s="22" t="s">
        <v>86</v>
      </c>
      <c r="B14" s="77">
        <f>B33</f>
        <v>11.450005003748039</v>
      </c>
      <c r="C14" s="78" t="s">
        <v>58</v>
      </c>
      <c r="D14" s="70" t="s">
        <v>87</v>
      </c>
    </row>
    <row r="15" spans="1:13" ht="15.75" thickBot="1" x14ac:dyDescent="0.3">
      <c r="A15" s="29" t="s">
        <v>92</v>
      </c>
      <c r="B15" s="30" t="s">
        <v>0</v>
      </c>
      <c r="C15" s="30" t="s">
        <v>29</v>
      </c>
      <c r="D15" s="31" t="s">
        <v>1</v>
      </c>
    </row>
    <row r="16" spans="1:13" x14ac:dyDescent="0.25">
      <c r="A16" s="24" t="s">
        <v>35</v>
      </c>
      <c r="B16" s="9">
        <v>320</v>
      </c>
      <c r="C16" s="6" t="s">
        <v>30</v>
      </c>
      <c r="D16" s="16" t="s">
        <v>89</v>
      </c>
    </row>
    <row r="17" spans="1:13" ht="14.25" customHeight="1" thickBot="1" x14ac:dyDescent="0.3">
      <c r="A17" s="24" t="s">
        <v>37</v>
      </c>
      <c r="B17" s="212">
        <v>10</v>
      </c>
      <c r="C17" s="6" t="s">
        <v>31</v>
      </c>
      <c r="D17" s="13" t="s">
        <v>271</v>
      </c>
    </row>
    <row r="18" spans="1:13" ht="16.5" customHeight="1" thickBot="1" x14ac:dyDescent="0.3">
      <c r="A18" s="24" t="s">
        <v>83</v>
      </c>
      <c r="B18" s="6">
        <v>1.52</v>
      </c>
      <c r="C18" s="6" t="s">
        <v>77</v>
      </c>
      <c r="D18" s="13" t="s">
        <v>80</v>
      </c>
      <c r="F18" s="260" t="s">
        <v>98</v>
      </c>
      <c r="G18" s="255"/>
      <c r="H18" s="256"/>
    </row>
    <row r="19" spans="1:13" ht="15" customHeight="1" x14ac:dyDescent="0.25">
      <c r="A19" s="24" t="s">
        <v>84</v>
      </c>
      <c r="B19" s="6">
        <v>2.29</v>
      </c>
      <c r="C19" s="6" t="s">
        <v>77</v>
      </c>
      <c r="D19" s="13" t="s">
        <v>80</v>
      </c>
      <c r="F19" s="39">
        <f>$B$28</f>
        <v>499.99999999999994</v>
      </c>
      <c r="G19" s="261" t="s">
        <v>68</v>
      </c>
      <c r="H19" s="262"/>
    </row>
    <row r="20" spans="1:13" ht="15.75" customHeight="1" thickBot="1" x14ac:dyDescent="0.3">
      <c r="A20" s="25" t="s">
        <v>10</v>
      </c>
      <c r="B20" s="26">
        <v>16</v>
      </c>
      <c r="C20" s="28" t="s">
        <v>47</v>
      </c>
      <c r="D20" s="27" t="s">
        <v>96</v>
      </c>
      <c r="F20" s="39">
        <f>F19*60</f>
        <v>29999.999999999996</v>
      </c>
      <c r="G20" s="248" t="s">
        <v>62</v>
      </c>
      <c r="H20" s="249"/>
    </row>
    <row r="21" spans="1:13" ht="18" thickBot="1" x14ac:dyDescent="0.3">
      <c r="A21" s="29" t="s">
        <v>93</v>
      </c>
      <c r="B21" s="30" t="s">
        <v>0</v>
      </c>
      <c r="C21" s="30" t="s">
        <v>29</v>
      </c>
      <c r="D21" s="31" t="s">
        <v>1</v>
      </c>
      <c r="F21" s="59">
        <f>F20/1000000</f>
        <v>2.9999999999999995E-2</v>
      </c>
      <c r="G21" s="248" t="s">
        <v>63</v>
      </c>
      <c r="H21" s="249"/>
    </row>
    <row r="22" spans="1:13" ht="17.25" x14ac:dyDescent="0.25">
      <c r="A22" s="71" t="s">
        <v>38</v>
      </c>
      <c r="B22" s="72">
        <f>$B$3</f>
        <v>50</v>
      </c>
      <c r="C22" s="73" t="s">
        <v>33</v>
      </c>
      <c r="D22" s="16" t="s">
        <v>97</v>
      </c>
      <c r="F22" s="37">
        <f>F21*60</f>
        <v>1.7999999999999998</v>
      </c>
      <c r="G22" s="248" t="s">
        <v>64</v>
      </c>
      <c r="H22" s="249"/>
    </row>
    <row r="23" spans="1:13" ht="17.25" x14ac:dyDescent="0.25">
      <c r="A23" s="15" t="s">
        <v>3</v>
      </c>
      <c r="B23" s="5">
        <f>$B$4</f>
        <v>5</v>
      </c>
      <c r="C23" s="6" t="s">
        <v>32</v>
      </c>
      <c r="D23" s="16" t="s">
        <v>97</v>
      </c>
      <c r="F23" s="37">
        <f>F22*0.386102</f>
        <v>0.69498359999999992</v>
      </c>
      <c r="G23" s="248" t="s">
        <v>65</v>
      </c>
      <c r="H23" s="249"/>
    </row>
    <row r="24" spans="1:13" x14ac:dyDescent="0.25">
      <c r="A24" s="15" t="s">
        <v>36</v>
      </c>
      <c r="B24" s="5">
        <f>$B$5</f>
        <v>90</v>
      </c>
      <c r="C24" s="6" t="s">
        <v>34</v>
      </c>
      <c r="D24" s="16" t="s">
        <v>97</v>
      </c>
      <c r="F24" s="39">
        <f>F22*247.105</f>
        <v>444.78899999999993</v>
      </c>
      <c r="G24" s="248" t="s">
        <v>66</v>
      </c>
      <c r="H24" s="249"/>
    </row>
    <row r="25" spans="1:13" ht="15.75" thickBot="1" x14ac:dyDescent="0.3">
      <c r="A25" s="15" t="s">
        <v>39</v>
      </c>
      <c r="B25" s="7">
        <f>$B$24/360*$B$16</f>
        <v>80</v>
      </c>
      <c r="C25" s="6" t="s">
        <v>30</v>
      </c>
      <c r="D25" s="13" t="s">
        <v>6</v>
      </c>
      <c r="F25" s="82">
        <f>F22*100</f>
        <v>179.99999999999997</v>
      </c>
      <c r="G25" s="250" t="s">
        <v>67</v>
      </c>
      <c r="H25" s="251"/>
    </row>
    <row r="26" spans="1:13" ht="15.75" thickBot="1" x14ac:dyDescent="0.3">
      <c r="A26" s="15" t="s">
        <v>40</v>
      </c>
      <c r="B26" s="7">
        <f>2*$B$22*TAN(($B$24/2)*PI()/180)</f>
        <v>99.999999999999986</v>
      </c>
      <c r="C26" s="6" t="s">
        <v>33</v>
      </c>
      <c r="D26" s="13" t="s">
        <v>7</v>
      </c>
    </row>
    <row r="27" spans="1:13" ht="15.75" thickBot="1" x14ac:dyDescent="0.3">
      <c r="A27" s="15" t="s">
        <v>41</v>
      </c>
      <c r="B27" s="5">
        <f>$B$23</f>
        <v>5</v>
      </c>
      <c r="C27" s="6" t="s">
        <v>33</v>
      </c>
      <c r="D27" s="13" t="s">
        <v>3</v>
      </c>
      <c r="F27" s="252" t="s">
        <v>72</v>
      </c>
      <c r="G27" s="253"/>
      <c r="H27" s="253"/>
      <c r="I27" s="253"/>
      <c r="J27" s="254"/>
      <c r="K27" s="255" t="s">
        <v>75</v>
      </c>
      <c r="L27" s="256"/>
      <c r="M27" s="160" t="s">
        <v>189</v>
      </c>
    </row>
    <row r="28" spans="1:13" ht="18" thickBot="1" x14ac:dyDescent="0.3">
      <c r="A28" s="15" t="s">
        <v>42</v>
      </c>
      <c r="B28" s="7">
        <f>$B$26*$B$27</f>
        <v>499.99999999999994</v>
      </c>
      <c r="C28" s="6" t="s">
        <v>53</v>
      </c>
      <c r="D28" s="13" t="s">
        <v>2</v>
      </c>
      <c r="F28" s="166" t="s">
        <v>69</v>
      </c>
      <c r="G28" s="69" t="s">
        <v>70</v>
      </c>
      <c r="H28" s="69" t="s">
        <v>71</v>
      </c>
      <c r="I28" s="69" t="s">
        <v>73</v>
      </c>
      <c r="J28" s="172" t="s">
        <v>74</v>
      </c>
      <c r="K28" s="162" t="s">
        <v>76</v>
      </c>
      <c r="L28" s="163">
        <f>B6*M28</f>
        <v>0.3</v>
      </c>
      <c r="M28">
        <v>1</v>
      </c>
    </row>
    <row r="29" spans="1:13" ht="16.5" customHeight="1" thickBot="1" x14ac:dyDescent="0.3">
      <c r="A29" s="15" t="s">
        <v>43</v>
      </c>
      <c r="B29" s="7">
        <f>$B$25*1000/$B$28</f>
        <v>160.00000000000003</v>
      </c>
      <c r="C29" s="6" t="s">
        <v>54</v>
      </c>
      <c r="D29" s="13" t="s">
        <v>4</v>
      </c>
      <c r="F29" s="178">
        <f>J42</f>
        <v>18</v>
      </c>
      <c r="G29" s="179">
        <f>$F$24/60*F29*(1-$L$28)*(1-$L$30)</f>
        <v>78.184021999999985</v>
      </c>
      <c r="H29" s="179">
        <f>$F$25/60*F29*(1-$L$28)*(1-$L$30)</f>
        <v>31.63999999999999</v>
      </c>
      <c r="I29" s="179">
        <f>$F$22/60*F29*(1-$L$28)*(1-$L$30)</f>
        <v>0.31639999999999996</v>
      </c>
      <c r="J29" s="180">
        <f>$F$23/60*F29*(1-$L$28)*(1-$L$30)</f>
        <v>0.12216267279999998</v>
      </c>
      <c r="K29" s="243" t="s">
        <v>187</v>
      </c>
      <c r="L29" s="245"/>
      <c r="M29" s="160" t="s">
        <v>189</v>
      </c>
    </row>
    <row r="30" spans="1:13" ht="15.75" thickBot="1" x14ac:dyDescent="0.3">
      <c r="A30" s="60" t="s">
        <v>44</v>
      </c>
      <c r="B30" s="61">
        <f>$B$39</f>
        <v>15.708014945280782</v>
      </c>
      <c r="C30" s="62" t="s">
        <v>58</v>
      </c>
      <c r="D30" s="63" t="s">
        <v>23</v>
      </c>
      <c r="F30" s="169">
        <v>5</v>
      </c>
      <c r="G30" s="170">
        <f t="shared" ref="G30:G39" si="0">$F$24/60*F30*(1-$L$28)*(1-$L$30)</f>
        <v>21.717783888888885</v>
      </c>
      <c r="H30" s="170">
        <f t="shared" ref="H30:H39" si="1">$F$25/60*F30*(1-$L$28)*(1-$L$30)</f>
        <v>8.7888888888888879</v>
      </c>
      <c r="I30" s="170">
        <f t="shared" ref="I30:I39" si="2">$F$22/60*F30*(1-$L$28)*(1-$L$30)</f>
        <v>8.7888888888888864E-2</v>
      </c>
      <c r="J30" s="171">
        <f t="shared" ref="J30:J39" si="3">$F$23/60*F30*(1-$L$28)*(1-$L$30)</f>
        <v>3.3934075777777774E-2</v>
      </c>
      <c r="K30" s="176" t="s">
        <v>188</v>
      </c>
      <c r="L30" s="177">
        <f>J51*M30</f>
        <v>0.16296296296296295</v>
      </c>
      <c r="M30">
        <v>1</v>
      </c>
    </row>
    <row r="31" spans="1:13" x14ac:dyDescent="0.25">
      <c r="A31" s="15" t="s">
        <v>45</v>
      </c>
      <c r="B31" s="7">
        <f>$B$41</f>
        <v>3.125</v>
      </c>
      <c r="C31" s="6" t="s">
        <v>58</v>
      </c>
      <c r="D31" s="13" t="s">
        <v>24</v>
      </c>
      <c r="F31" s="164">
        <v>10</v>
      </c>
      <c r="G31" s="161">
        <f t="shared" si="0"/>
        <v>43.43556777777777</v>
      </c>
      <c r="H31" s="161">
        <f t="shared" si="1"/>
        <v>17.577777777777776</v>
      </c>
      <c r="I31" s="161">
        <f t="shared" si="2"/>
        <v>0.17577777777777773</v>
      </c>
      <c r="J31" s="165">
        <f t="shared" si="3"/>
        <v>6.7868151555555548E-2</v>
      </c>
    </row>
    <row r="32" spans="1:13" x14ac:dyDescent="0.25">
      <c r="A32" s="15" t="s">
        <v>78</v>
      </c>
      <c r="B32" s="7">
        <f>2*($B$3*TAN((B18/2)/1000))*100</f>
        <v>7.6000014632536725</v>
      </c>
      <c r="C32" s="6" t="s">
        <v>58</v>
      </c>
      <c r="D32" s="13" t="s">
        <v>81</v>
      </c>
      <c r="F32" s="164">
        <v>15</v>
      </c>
      <c r="G32" s="161">
        <f t="shared" si="0"/>
        <v>65.153351666666651</v>
      </c>
      <c r="H32" s="161">
        <f t="shared" si="1"/>
        <v>26.36666666666666</v>
      </c>
      <c r="I32" s="161">
        <f t="shared" si="2"/>
        <v>0.2636666666666666</v>
      </c>
      <c r="J32" s="165">
        <f t="shared" si="3"/>
        <v>0.10180222733333331</v>
      </c>
    </row>
    <row r="33" spans="1:10" ht="15.75" customHeight="1" thickBot="1" x14ac:dyDescent="0.3">
      <c r="A33" s="23" t="s">
        <v>79</v>
      </c>
      <c r="B33" s="7">
        <f>2*($B$3*TAN((B19/2)/1000))*100</f>
        <v>11.450005003748039</v>
      </c>
      <c r="C33" s="69" t="s">
        <v>58</v>
      </c>
      <c r="D33" s="21" t="s">
        <v>82</v>
      </c>
      <c r="F33" s="164">
        <v>20</v>
      </c>
      <c r="G33" s="161">
        <f t="shared" si="0"/>
        <v>86.87113555555554</v>
      </c>
      <c r="H33" s="161">
        <f t="shared" si="1"/>
        <v>35.155555555555551</v>
      </c>
      <c r="I33" s="161">
        <f t="shared" si="2"/>
        <v>0.35155555555555545</v>
      </c>
      <c r="J33" s="165">
        <f t="shared" si="3"/>
        <v>0.1357363031111111</v>
      </c>
    </row>
    <row r="34" spans="1:10" ht="14.25" customHeight="1" thickBot="1" x14ac:dyDescent="0.3">
      <c r="A34" s="240" t="s">
        <v>20</v>
      </c>
      <c r="B34" s="241"/>
      <c r="C34" s="241"/>
      <c r="D34" s="242"/>
      <c r="F34" s="164">
        <v>25</v>
      </c>
      <c r="G34" s="161">
        <f t="shared" si="0"/>
        <v>108.58891944444443</v>
      </c>
      <c r="H34" s="161">
        <f t="shared" si="1"/>
        <v>43.944444444444429</v>
      </c>
      <c r="I34" s="161">
        <f t="shared" si="2"/>
        <v>0.43944444444444436</v>
      </c>
      <c r="J34" s="165">
        <f t="shared" si="3"/>
        <v>0.16967037888888886</v>
      </c>
    </row>
    <row r="35" spans="1:10" ht="15" customHeight="1" x14ac:dyDescent="0.25">
      <c r="A35" s="15" t="s">
        <v>11</v>
      </c>
      <c r="B35" s="7">
        <f>$B$16/$B$20</f>
        <v>20</v>
      </c>
      <c r="C35" s="6" t="s">
        <v>30</v>
      </c>
      <c r="D35" s="13" t="s">
        <v>25</v>
      </c>
      <c r="F35" s="164">
        <v>30</v>
      </c>
      <c r="G35" s="161">
        <f t="shared" si="0"/>
        <v>130.3067033333333</v>
      </c>
      <c r="H35" s="161">
        <f t="shared" si="1"/>
        <v>52.73333333333332</v>
      </c>
      <c r="I35" s="161">
        <f t="shared" si="2"/>
        <v>0.52733333333333321</v>
      </c>
      <c r="J35" s="165">
        <f t="shared" si="3"/>
        <v>0.20360445466666663</v>
      </c>
    </row>
    <row r="36" spans="1:10" ht="14.25" customHeight="1" thickBot="1" x14ac:dyDescent="0.3">
      <c r="A36" s="15" t="s">
        <v>12</v>
      </c>
      <c r="B36" s="7">
        <f>$B$24/360*$B$35</f>
        <v>5</v>
      </c>
      <c r="C36" s="6" t="s">
        <v>30</v>
      </c>
      <c r="D36" s="13" t="s">
        <v>15</v>
      </c>
      <c r="F36" s="173">
        <v>45</v>
      </c>
      <c r="G36" s="174">
        <f t="shared" si="0"/>
        <v>195.46005499999993</v>
      </c>
      <c r="H36" s="174">
        <f t="shared" si="1"/>
        <v>79.09999999999998</v>
      </c>
      <c r="I36" s="174">
        <f>$F$22/60*F36*(1-$L$28)*(1-$L$30)</f>
        <v>0.79099999999999981</v>
      </c>
      <c r="J36" s="175">
        <f t="shared" si="3"/>
        <v>0.30540668199999993</v>
      </c>
    </row>
    <row r="37" spans="1:10" ht="14.25" customHeight="1" thickBot="1" x14ac:dyDescent="0.3">
      <c r="A37" s="15" t="s">
        <v>21</v>
      </c>
      <c r="B37" s="7">
        <f>$B$36*1000/$B$28</f>
        <v>10.000000000000002</v>
      </c>
      <c r="C37" s="8" t="s">
        <v>54</v>
      </c>
      <c r="D37" s="13" t="s">
        <v>22</v>
      </c>
      <c r="F37" s="178">
        <v>60</v>
      </c>
      <c r="G37" s="179">
        <f t="shared" si="0"/>
        <v>260.61340666666661</v>
      </c>
      <c r="H37" s="179">
        <f t="shared" si="1"/>
        <v>105.46666666666664</v>
      </c>
      <c r="I37" s="179">
        <f t="shared" si="2"/>
        <v>1.0546666666666664</v>
      </c>
      <c r="J37" s="180">
        <f t="shared" si="3"/>
        <v>0.40720890933333326</v>
      </c>
    </row>
    <row r="38" spans="1:10" ht="14.25" customHeight="1" x14ac:dyDescent="0.25">
      <c r="A38" s="15" t="s">
        <v>56</v>
      </c>
      <c r="B38" s="32">
        <f>(360*$B$17)/($B$35*1000)</f>
        <v>0.18</v>
      </c>
      <c r="C38" s="8" t="s">
        <v>57</v>
      </c>
      <c r="D38" s="13" t="s">
        <v>55</v>
      </c>
      <c r="F38" s="169">
        <v>75</v>
      </c>
      <c r="G38" s="170">
        <f t="shared" si="0"/>
        <v>325.76675833333326</v>
      </c>
      <c r="H38" s="170">
        <f t="shared" si="1"/>
        <v>131.83333333333331</v>
      </c>
      <c r="I38" s="170">
        <f t="shared" si="2"/>
        <v>1.3183333333333329</v>
      </c>
      <c r="J38" s="171">
        <f t="shared" si="3"/>
        <v>0.50901113666666653</v>
      </c>
    </row>
    <row r="39" spans="1:10" ht="15.75" thickBot="1" x14ac:dyDescent="0.3">
      <c r="A39" s="15" t="s">
        <v>13</v>
      </c>
      <c r="B39" s="7">
        <f>$B$22*TAN(($B$38)*PI()/180)*100</f>
        <v>15.708014945280782</v>
      </c>
      <c r="C39" s="9" t="s">
        <v>58</v>
      </c>
      <c r="D39" s="33" t="s">
        <v>59</v>
      </c>
      <c r="F39" s="166">
        <v>90</v>
      </c>
      <c r="G39" s="167">
        <f t="shared" si="0"/>
        <v>390.92010999999985</v>
      </c>
      <c r="H39" s="167">
        <f t="shared" si="1"/>
        <v>158.19999999999996</v>
      </c>
      <c r="I39" s="167">
        <f t="shared" si="2"/>
        <v>1.5819999999999996</v>
      </c>
      <c r="J39" s="168">
        <f t="shared" si="3"/>
        <v>0.61081336399999986</v>
      </c>
    </row>
    <row r="40" spans="1:10" ht="15.75" thickBot="1" x14ac:dyDescent="0.3">
      <c r="A40" s="15" t="s">
        <v>14</v>
      </c>
      <c r="B40" s="7">
        <f>$B$23/$B$17*100</f>
        <v>50</v>
      </c>
      <c r="C40" s="9" t="s">
        <v>58</v>
      </c>
      <c r="D40" s="13" t="s">
        <v>5</v>
      </c>
    </row>
    <row r="41" spans="1:10" ht="15.75" thickBot="1" x14ac:dyDescent="0.3">
      <c r="A41" s="15" t="s">
        <v>9</v>
      </c>
      <c r="B41" s="7">
        <f>$B$23/$B$17/$B$20*100</f>
        <v>3.125</v>
      </c>
      <c r="C41" s="9" t="s">
        <v>58</v>
      </c>
      <c r="D41" s="13" t="s">
        <v>17</v>
      </c>
      <c r="F41" s="243" t="s">
        <v>190</v>
      </c>
      <c r="G41" s="244"/>
      <c r="H41" s="244"/>
      <c r="I41" s="244"/>
      <c r="J41" s="245"/>
    </row>
    <row r="42" spans="1:10" x14ac:dyDescent="0.25">
      <c r="A42" s="17" t="s">
        <v>16</v>
      </c>
      <c r="B42" s="10">
        <f>2*$B$22*TAN((1/2)*PI()/180)</f>
        <v>0.87268677907587888</v>
      </c>
      <c r="C42" s="8" t="s">
        <v>33</v>
      </c>
      <c r="D42" s="13" t="s">
        <v>194</v>
      </c>
      <c r="F42" s="246" t="s">
        <v>182</v>
      </c>
      <c r="G42" s="247"/>
      <c r="H42" s="247"/>
      <c r="I42" s="247"/>
      <c r="J42" s="181">
        <v>18</v>
      </c>
    </row>
    <row r="43" spans="1:10" x14ac:dyDescent="0.25">
      <c r="A43" s="17" t="s">
        <v>18</v>
      </c>
      <c r="B43" s="11">
        <f>$B$42/($B$40/100)</f>
        <v>1.7453735581517578</v>
      </c>
      <c r="C43" s="9" t="s">
        <v>47</v>
      </c>
      <c r="D43" s="13" t="s">
        <v>26</v>
      </c>
      <c r="F43" s="236" t="s">
        <v>177</v>
      </c>
      <c r="G43" s="237"/>
      <c r="H43" s="237"/>
      <c r="I43" s="237"/>
      <c r="J43" s="182">
        <v>10</v>
      </c>
    </row>
    <row r="44" spans="1:10" ht="15" customHeight="1" thickBot="1" x14ac:dyDescent="0.3">
      <c r="A44" s="18" t="s">
        <v>19</v>
      </c>
      <c r="B44" s="19">
        <f>B43/B17</f>
        <v>0.17453735581517577</v>
      </c>
      <c r="C44" s="20" t="s">
        <v>46</v>
      </c>
      <c r="D44" s="21" t="s">
        <v>27</v>
      </c>
      <c r="F44" s="236" t="s">
        <v>183</v>
      </c>
      <c r="G44" s="237"/>
      <c r="H44" s="237"/>
      <c r="I44" s="237"/>
      <c r="J44" s="182">
        <v>15</v>
      </c>
    </row>
    <row r="45" spans="1:10" ht="15" customHeight="1" x14ac:dyDescent="0.25">
      <c r="F45" s="236" t="s">
        <v>184</v>
      </c>
      <c r="G45" s="237"/>
      <c r="H45" s="237"/>
      <c r="I45" s="237"/>
      <c r="J45" s="182">
        <v>10</v>
      </c>
    </row>
    <row r="46" spans="1:10" x14ac:dyDescent="0.25">
      <c r="F46" s="236" t="s">
        <v>185</v>
      </c>
      <c r="G46" s="237"/>
      <c r="H46" s="237"/>
      <c r="I46" s="237"/>
      <c r="J46" s="182">
        <v>10</v>
      </c>
    </row>
    <row r="47" spans="1:10" x14ac:dyDescent="0.25">
      <c r="F47" s="236" t="s">
        <v>186</v>
      </c>
      <c r="G47" s="237"/>
      <c r="H47" s="237"/>
      <c r="I47" s="237"/>
      <c r="J47" s="182">
        <v>15</v>
      </c>
    </row>
    <row r="48" spans="1:10" x14ac:dyDescent="0.25">
      <c r="F48" s="238" t="s">
        <v>176</v>
      </c>
      <c r="G48" s="239"/>
      <c r="H48" s="239"/>
      <c r="I48" s="239"/>
      <c r="J48" s="183">
        <f>B8/B4</f>
        <v>13.999999999999996</v>
      </c>
    </row>
    <row r="49" spans="6:12" x14ac:dyDescent="0.25">
      <c r="F49" s="238" t="s">
        <v>178</v>
      </c>
      <c r="G49" s="239"/>
      <c r="H49" s="239"/>
      <c r="I49" s="239"/>
      <c r="J49" s="183">
        <f>J48*(J43-1)</f>
        <v>125.99999999999997</v>
      </c>
    </row>
    <row r="50" spans="6:12" x14ac:dyDescent="0.25">
      <c r="F50" s="238" t="s">
        <v>179</v>
      </c>
      <c r="G50" s="239"/>
      <c r="H50" s="239"/>
      <c r="I50" s="239"/>
      <c r="J50" s="183">
        <f>J44+J45+J46+J47+J49</f>
        <v>175.99999999999997</v>
      </c>
    </row>
    <row r="51" spans="6:12" x14ac:dyDescent="0.25">
      <c r="F51" s="238" t="s">
        <v>180</v>
      </c>
      <c r="G51" s="239"/>
      <c r="H51" s="239"/>
      <c r="I51" s="239"/>
      <c r="J51" s="184">
        <f>J50/(J42*60)</f>
        <v>0.16296296296296295</v>
      </c>
    </row>
    <row r="52" spans="6:12" ht="15.75" thickBot="1" x14ac:dyDescent="0.3">
      <c r="F52" s="234" t="s">
        <v>181</v>
      </c>
      <c r="G52" s="235"/>
      <c r="H52" s="235"/>
      <c r="I52" s="235"/>
      <c r="J52" s="185">
        <f>1-J51</f>
        <v>0.83703703703703702</v>
      </c>
    </row>
    <row r="55" spans="6:12" x14ac:dyDescent="0.25">
      <c r="F55" t="s">
        <v>197</v>
      </c>
      <c r="J55" s="94">
        <v>5000</v>
      </c>
    </row>
    <row r="56" spans="6:12" x14ac:dyDescent="0.25">
      <c r="F56" t="s">
        <v>198</v>
      </c>
      <c r="J56" s="94">
        <v>2500</v>
      </c>
    </row>
    <row r="57" spans="6:12" x14ac:dyDescent="0.25">
      <c r="F57" t="s">
        <v>199</v>
      </c>
      <c r="J57" s="195">
        <f>B8</f>
        <v>69.999999999999986</v>
      </c>
    </row>
    <row r="58" spans="6:12" x14ac:dyDescent="0.25">
      <c r="F58" t="s">
        <v>229</v>
      </c>
      <c r="J58" s="195">
        <f>J55/J57</f>
        <v>71.428571428571445</v>
      </c>
    </row>
    <row r="59" spans="6:12" x14ac:dyDescent="0.25">
      <c r="F59" t="s">
        <v>230</v>
      </c>
      <c r="J59" s="195">
        <f>J56/J57</f>
        <v>35.714285714285722</v>
      </c>
    </row>
    <row r="60" spans="6:12" x14ac:dyDescent="0.25">
      <c r="F60" t="s">
        <v>200</v>
      </c>
      <c r="J60">
        <f>J55/B4</f>
        <v>1000</v>
      </c>
      <c r="K60" s="195">
        <f>J60/60</f>
        <v>16.666666666666668</v>
      </c>
    </row>
    <row r="61" spans="6:12" x14ac:dyDescent="0.25">
      <c r="F61" t="s">
        <v>201</v>
      </c>
      <c r="J61">
        <f>J56/B4</f>
        <v>500</v>
      </c>
      <c r="K61" s="195">
        <f>J61/60</f>
        <v>8.3333333333333339</v>
      </c>
    </row>
    <row r="62" spans="6:12" x14ac:dyDescent="0.25">
      <c r="F62" t="s">
        <v>207</v>
      </c>
      <c r="J62" s="195">
        <f>J60*J58</f>
        <v>71428.571428571449</v>
      </c>
      <c r="K62" s="195">
        <f>J62/60</f>
        <v>1190.4761904761908</v>
      </c>
      <c r="L62" s="195">
        <f>K62/60</f>
        <v>19.841269841269845</v>
      </c>
    </row>
    <row r="63" spans="6:12" x14ac:dyDescent="0.25">
      <c r="F63" t="s">
        <v>208</v>
      </c>
      <c r="J63" s="195">
        <f>J61*J59</f>
        <v>17857.142857142862</v>
      </c>
      <c r="K63" s="195">
        <f>J63/60</f>
        <v>297.61904761904771</v>
      </c>
      <c r="L63" s="195">
        <f>K63/60</f>
        <v>4.9603174603174613</v>
      </c>
    </row>
    <row r="65" spans="6:12" x14ac:dyDescent="0.25">
      <c r="F65" t="s">
        <v>202</v>
      </c>
      <c r="J65" s="195">
        <f>J57/B4</f>
        <v>13.999999999999996</v>
      </c>
    </row>
    <row r="66" spans="6:12" x14ac:dyDescent="0.25">
      <c r="F66" t="s">
        <v>203</v>
      </c>
      <c r="J66" s="196">
        <f>J58-1</f>
        <v>70.428571428571445</v>
      </c>
    </row>
    <row r="67" spans="6:12" x14ac:dyDescent="0.25">
      <c r="F67" t="s">
        <v>204</v>
      </c>
      <c r="J67" s="196">
        <f>J59-1</f>
        <v>34.714285714285722</v>
      </c>
    </row>
    <row r="68" spans="6:12" x14ac:dyDescent="0.25">
      <c r="F68" t="s">
        <v>205</v>
      </c>
      <c r="J68" s="195">
        <f>J65*J66</f>
        <v>986</v>
      </c>
      <c r="K68" s="195">
        <f>J68/60</f>
        <v>16.433333333333334</v>
      </c>
      <c r="L68" s="195">
        <f>K68/60</f>
        <v>0.2738888888888889</v>
      </c>
    </row>
    <row r="69" spans="6:12" x14ac:dyDescent="0.25">
      <c r="F69" t="s">
        <v>206</v>
      </c>
      <c r="J69" s="195">
        <f>J65*J67</f>
        <v>486</v>
      </c>
      <c r="K69" s="195">
        <f>J69/60</f>
        <v>8.1</v>
      </c>
      <c r="L69" s="195">
        <f>K69/60</f>
        <v>0.13499999999999998</v>
      </c>
    </row>
    <row r="71" spans="6:12" x14ac:dyDescent="0.25">
      <c r="F71" t="s">
        <v>209</v>
      </c>
      <c r="J71" s="94">
        <v>20</v>
      </c>
    </row>
    <row r="72" spans="6:12" x14ac:dyDescent="0.25">
      <c r="F72" t="s">
        <v>210</v>
      </c>
      <c r="J72" s="94">
        <v>500</v>
      </c>
    </row>
    <row r="73" spans="6:12" x14ac:dyDescent="0.25">
      <c r="F73" t="s">
        <v>211</v>
      </c>
      <c r="J73">
        <f>J55/J72</f>
        <v>10</v>
      </c>
    </row>
    <row r="74" spans="6:12" x14ac:dyDescent="0.25">
      <c r="F74" t="s">
        <v>212</v>
      </c>
      <c r="J74" s="195">
        <f>J73*J58</f>
        <v>714.28571428571445</v>
      </c>
    </row>
    <row r="75" spans="6:12" x14ac:dyDescent="0.25">
      <c r="F75" t="s">
        <v>215</v>
      </c>
      <c r="J75">
        <f>J56/J72</f>
        <v>5</v>
      </c>
    </row>
    <row r="76" spans="6:12" x14ac:dyDescent="0.25">
      <c r="F76" t="s">
        <v>216</v>
      </c>
      <c r="J76" s="195">
        <f>J75*J59</f>
        <v>178.57142857142861</v>
      </c>
    </row>
    <row r="77" spans="6:12" x14ac:dyDescent="0.25">
      <c r="F77" t="s">
        <v>213</v>
      </c>
      <c r="J77" s="195">
        <f>J74*J71</f>
        <v>14285.71428571429</v>
      </c>
      <c r="K77" s="195">
        <f>J77/60</f>
        <v>238.09523809523816</v>
      </c>
      <c r="L77" s="195">
        <f>K77/60</f>
        <v>3.9682539682539693</v>
      </c>
    </row>
    <row r="78" spans="6:12" x14ac:dyDescent="0.25">
      <c r="F78" t="s">
        <v>214</v>
      </c>
      <c r="J78" s="195">
        <f>J76*J71</f>
        <v>3571.4285714285725</v>
      </c>
      <c r="K78" s="195">
        <f>J78/60</f>
        <v>59.52380952380954</v>
      </c>
      <c r="L78" s="195">
        <f>K78/60</f>
        <v>0.99206349206349231</v>
      </c>
    </row>
    <row r="80" spans="6:12" x14ac:dyDescent="0.25">
      <c r="F80" t="s">
        <v>217</v>
      </c>
      <c r="J80" s="195">
        <f>J62+J68+J77</f>
        <v>86700.285714285739</v>
      </c>
      <c r="K80" s="195">
        <f>J80/60</f>
        <v>1445.0047619047623</v>
      </c>
      <c r="L80" s="195">
        <f>K80/60</f>
        <v>24.083412698412705</v>
      </c>
    </row>
    <row r="81" spans="6:12" x14ac:dyDescent="0.25">
      <c r="F81" t="s">
        <v>218</v>
      </c>
      <c r="J81" s="195">
        <f>J63+J69+J78</f>
        <v>21914.571428571435</v>
      </c>
      <c r="K81" s="195">
        <f>J81/60</f>
        <v>365.24285714285725</v>
      </c>
      <c r="L81" s="195">
        <f>K81/60</f>
        <v>6.0873809523809541</v>
      </c>
    </row>
    <row r="83" spans="6:12" x14ac:dyDescent="0.25">
      <c r="F83" t="s">
        <v>219</v>
      </c>
      <c r="J83" s="94">
        <v>20</v>
      </c>
    </row>
    <row r="84" spans="6:12" x14ac:dyDescent="0.25">
      <c r="F84" t="s">
        <v>220</v>
      </c>
      <c r="J84">
        <f>J83/K60</f>
        <v>1.2</v>
      </c>
    </row>
    <row r="85" spans="6:12" x14ac:dyDescent="0.25">
      <c r="F85" t="s">
        <v>221</v>
      </c>
      <c r="J85">
        <f>J83/K61</f>
        <v>2.4</v>
      </c>
    </row>
    <row r="86" spans="6:12" x14ac:dyDescent="0.25">
      <c r="F86" t="s">
        <v>222</v>
      </c>
      <c r="J86" s="195">
        <f>K80/J83</f>
        <v>72.250238095238117</v>
      </c>
    </row>
    <row r="87" spans="6:12" x14ac:dyDescent="0.25">
      <c r="F87" t="s">
        <v>223</v>
      </c>
      <c r="J87" s="195">
        <f>K81/J83</f>
        <v>18.262142857142862</v>
      </c>
    </row>
    <row r="88" spans="6:12" x14ac:dyDescent="0.25">
      <c r="F88" t="s">
        <v>224</v>
      </c>
      <c r="J88" s="195">
        <f>J58/J84</f>
        <v>59.52380952380954</v>
      </c>
    </row>
    <row r="89" spans="6:12" x14ac:dyDescent="0.25">
      <c r="F89" t="s">
        <v>225</v>
      </c>
      <c r="J89" s="195">
        <f>J59/J85</f>
        <v>14.880952380952385</v>
      </c>
    </row>
    <row r="91" spans="6:12" x14ac:dyDescent="0.25">
      <c r="F91" t="s">
        <v>228</v>
      </c>
      <c r="J91" s="94">
        <v>2500</v>
      </c>
    </row>
    <row r="92" spans="6:12" x14ac:dyDescent="0.25">
      <c r="F92" t="s">
        <v>226</v>
      </c>
      <c r="J92">
        <f>J55/J91</f>
        <v>2</v>
      </c>
    </row>
    <row r="93" spans="6:12" x14ac:dyDescent="0.25">
      <c r="F93" t="s">
        <v>227</v>
      </c>
      <c r="J93">
        <f>J56/J91</f>
        <v>1</v>
      </c>
    </row>
  </sheetData>
  <mergeCells count="25">
    <mergeCell ref="K27:L27"/>
    <mergeCell ref="K29:L29"/>
    <mergeCell ref="A1:D1"/>
    <mergeCell ref="F18:H18"/>
    <mergeCell ref="G19:H19"/>
    <mergeCell ref="G20:H20"/>
    <mergeCell ref="G21:H21"/>
    <mergeCell ref="G22:H22"/>
    <mergeCell ref="F45:I45"/>
    <mergeCell ref="G23:H23"/>
    <mergeCell ref="G24:H24"/>
    <mergeCell ref="G25:H25"/>
    <mergeCell ref="F27:J27"/>
    <mergeCell ref="A34:D34"/>
    <mergeCell ref="F41:J41"/>
    <mergeCell ref="F42:I42"/>
    <mergeCell ref="F43:I43"/>
    <mergeCell ref="F44:I44"/>
    <mergeCell ref="F52:I52"/>
    <mergeCell ref="F46:I46"/>
    <mergeCell ref="F47:I47"/>
    <mergeCell ref="F48:I48"/>
    <mergeCell ref="F49:I49"/>
    <mergeCell ref="F50:I50"/>
    <mergeCell ref="F51:I51"/>
  </mergeCell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EF8BCB-159B-4A16-A007-7F05B57E8B01}">
  <sheetPr>
    <tabColor rgb="FF00B050"/>
  </sheetPr>
  <dimension ref="A1:M93"/>
  <sheetViews>
    <sheetView workbookViewId="0">
      <selection activeCell="B17" sqref="B17"/>
    </sheetView>
  </sheetViews>
  <sheetFormatPr defaultRowHeight="15" x14ac:dyDescent="0.25"/>
  <cols>
    <col min="1" max="1" width="55.85546875" bestFit="1" customWidth="1"/>
    <col min="2" max="2" width="9.140625" style="1"/>
    <col min="3" max="3" width="10" style="1" bestFit="1" customWidth="1"/>
    <col min="4" max="4" width="77.5703125" bestFit="1" customWidth="1"/>
    <col min="6" max="6" width="11.42578125" customWidth="1"/>
    <col min="7" max="7" width="13.7109375" customWidth="1"/>
    <col min="10" max="10" width="9.5703125" bestFit="1" customWidth="1"/>
  </cols>
  <sheetData>
    <row r="1" spans="1:13" ht="19.5" thickBot="1" x14ac:dyDescent="0.35">
      <c r="A1" s="257" t="s">
        <v>191</v>
      </c>
      <c r="B1" s="258"/>
      <c r="C1" s="258"/>
      <c r="D1" s="259"/>
    </row>
    <row r="2" spans="1:13" ht="15.75" thickBot="1" x14ac:dyDescent="0.3">
      <c r="A2" s="79" t="s">
        <v>94</v>
      </c>
      <c r="B2" s="64" t="s">
        <v>0</v>
      </c>
      <c r="C2" s="80" t="s">
        <v>29</v>
      </c>
      <c r="D2" s="81" t="s">
        <v>1</v>
      </c>
      <c r="K2" s="34" t="s">
        <v>61</v>
      </c>
      <c r="L2" s="35" t="s">
        <v>231</v>
      </c>
      <c r="M2" s="36">
        <v>44841</v>
      </c>
    </row>
    <row r="3" spans="1:13" x14ac:dyDescent="0.25">
      <c r="A3" s="65" t="s">
        <v>134</v>
      </c>
      <c r="B3" s="66">
        <v>100</v>
      </c>
      <c r="C3" s="67" t="s">
        <v>33</v>
      </c>
      <c r="D3" s="68" t="s">
        <v>192</v>
      </c>
    </row>
    <row r="4" spans="1:13" x14ac:dyDescent="0.25">
      <c r="A4" s="12" t="s">
        <v>135</v>
      </c>
      <c r="B4" s="58">
        <v>5</v>
      </c>
      <c r="C4" s="2" t="s">
        <v>32</v>
      </c>
      <c r="D4" s="13" t="s">
        <v>51</v>
      </c>
    </row>
    <row r="5" spans="1:13" x14ac:dyDescent="0.25">
      <c r="A5" s="12" t="s">
        <v>136</v>
      </c>
      <c r="B5" s="58">
        <v>120</v>
      </c>
      <c r="C5" s="2" t="s">
        <v>34</v>
      </c>
      <c r="D5" s="13" t="s">
        <v>52</v>
      </c>
    </row>
    <row r="6" spans="1:13" x14ac:dyDescent="0.25">
      <c r="A6" s="12" t="s">
        <v>139</v>
      </c>
      <c r="B6" s="99">
        <v>0.35</v>
      </c>
      <c r="C6" s="2" t="s">
        <v>137</v>
      </c>
      <c r="D6" s="13" t="s">
        <v>138</v>
      </c>
    </row>
    <row r="7" spans="1:13" x14ac:dyDescent="0.25">
      <c r="A7" s="14" t="s">
        <v>140</v>
      </c>
      <c r="B7" s="100">
        <f>2*$B$22*TAN(($B$24/2)*PI()/180)</f>
        <v>346.41016151377534</v>
      </c>
      <c r="C7" s="2" t="s">
        <v>33</v>
      </c>
      <c r="D7" s="13"/>
    </row>
    <row r="8" spans="1:13" x14ac:dyDescent="0.25">
      <c r="A8" s="14" t="s">
        <v>144</v>
      </c>
      <c r="B8" s="101">
        <f>B7*(1-B6)</f>
        <v>225.16660498395399</v>
      </c>
      <c r="C8" s="2" t="s">
        <v>33</v>
      </c>
      <c r="D8" s="13"/>
    </row>
    <row r="9" spans="1:13" ht="15.75" customHeight="1" x14ac:dyDescent="0.25">
      <c r="A9" s="14" t="s">
        <v>142</v>
      </c>
      <c r="B9" s="4">
        <f>$B$29</f>
        <v>123.16805742712019</v>
      </c>
      <c r="C9" s="3" t="s">
        <v>60</v>
      </c>
      <c r="D9" s="13" t="s">
        <v>8</v>
      </c>
    </row>
    <row r="10" spans="1:13" ht="15.75" customHeight="1" x14ac:dyDescent="0.25">
      <c r="A10" s="14" t="s">
        <v>143</v>
      </c>
      <c r="B10" s="4">
        <f>B9*2</f>
        <v>246.33611485424038</v>
      </c>
      <c r="C10" s="3" t="s">
        <v>60</v>
      </c>
      <c r="D10" s="13" t="s">
        <v>8</v>
      </c>
    </row>
    <row r="11" spans="1:13" x14ac:dyDescent="0.25">
      <c r="A11" s="14" t="s">
        <v>48</v>
      </c>
      <c r="B11" s="4">
        <f>$B$30</f>
        <v>31.416029890561564</v>
      </c>
      <c r="C11" s="3" t="s">
        <v>58</v>
      </c>
      <c r="D11" s="13" t="s">
        <v>141</v>
      </c>
    </row>
    <row r="12" spans="1:13" x14ac:dyDescent="0.25">
      <c r="A12" s="14" t="s">
        <v>49</v>
      </c>
      <c r="B12" s="4">
        <f>$B$31</f>
        <v>1.5625</v>
      </c>
      <c r="C12" s="3" t="s">
        <v>58</v>
      </c>
      <c r="D12" s="13" t="s">
        <v>141</v>
      </c>
    </row>
    <row r="13" spans="1:13" x14ac:dyDescent="0.25">
      <c r="A13" s="14" t="s">
        <v>85</v>
      </c>
      <c r="B13" s="4">
        <f>B32</f>
        <v>15.200002926507345</v>
      </c>
      <c r="C13" s="3" t="s">
        <v>58</v>
      </c>
      <c r="D13" s="13" t="s">
        <v>87</v>
      </c>
    </row>
    <row r="14" spans="1:13" ht="15.75" thickBot="1" x14ac:dyDescent="0.3">
      <c r="A14" s="22" t="s">
        <v>86</v>
      </c>
      <c r="B14" s="77">
        <f>B33</f>
        <v>22.900010007496078</v>
      </c>
      <c r="C14" s="78" t="s">
        <v>58</v>
      </c>
      <c r="D14" s="70" t="s">
        <v>87</v>
      </c>
    </row>
    <row r="15" spans="1:13" ht="15.75" thickBot="1" x14ac:dyDescent="0.3">
      <c r="A15" s="29" t="s">
        <v>92</v>
      </c>
      <c r="B15" s="30" t="s">
        <v>0</v>
      </c>
      <c r="C15" s="30" t="s">
        <v>29</v>
      </c>
      <c r="D15" s="31" t="s">
        <v>1</v>
      </c>
    </row>
    <row r="16" spans="1:13" x14ac:dyDescent="0.25">
      <c r="A16" s="24" t="s">
        <v>35</v>
      </c>
      <c r="B16" s="9">
        <v>640</v>
      </c>
      <c r="C16" s="6" t="s">
        <v>30</v>
      </c>
      <c r="D16" s="16" t="s">
        <v>89</v>
      </c>
    </row>
    <row r="17" spans="1:13" ht="14.25" customHeight="1" thickBot="1" x14ac:dyDescent="0.3">
      <c r="A17" s="24" t="s">
        <v>37</v>
      </c>
      <c r="B17" s="212">
        <v>10</v>
      </c>
      <c r="C17" s="6" t="s">
        <v>31</v>
      </c>
      <c r="D17" s="13" t="s">
        <v>271</v>
      </c>
    </row>
    <row r="18" spans="1:13" ht="16.5" customHeight="1" thickBot="1" x14ac:dyDescent="0.3">
      <c r="A18" s="24" t="s">
        <v>83</v>
      </c>
      <c r="B18" s="6">
        <v>1.52</v>
      </c>
      <c r="C18" s="6" t="s">
        <v>77</v>
      </c>
      <c r="D18" s="13" t="s">
        <v>80</v>
      </c>
      <c r="F18" s="260" t="s">
        <v>98</v>
      </c>
      <c r="G18" s="255"/>
      <c r="H18" s="256"/>
    </row>
    <row r="19" spans="1:13" ht="15" customHeight="1" x14ac:dyDescent="0.25">
      <c r="A19" s="24" t="s">
        <v>84</v>
      </c>
      <c r="B19" s="6">
        <v>2.29</v>
      </c>
      <c r="C19" s="6" t="s">
        <v>77</v>
      </c>
      <c r="D19" s="13" t="s">
        <v>80</v>
      </c>
      <c r="F19" s="39">
        <f>$B$28</f>
        <v>1732.0508075688767</v>
      </c>
      <c r="G19" s="261" t="s">
        <v>68</v>
      </c>
      <c r="H19" s="262"/>
    </row>
    <row r="20" spans="1:13" ht="15.75" customHeight="1" thickBot="1" x14ac:dyDescent="0.3">
      <c r="A20" s="25" t="s">
        <v>10</v>
      </c>
      <c r="B20" s="26">
        <v>32</v>
      </c>
      <c r="C20" s="28" t="s">
        <v>47</v>
      </c>
      <c r="D20" s="27" t="s">
        <v>96</v>
      </c>
      <c r="F20" s="39">
        <f>F19*60</f>
        <v>103923.0484541326</v>
      </c>
      <c r="G20" s="248" t="s">
        <v>62</v>
      </c>
      <c r="H20" s="249"/>
    </row>
    <row r="21" spans="1:13" ht="18" thickBot="1" x14ac:dyDescent="0.3">
      <c r="A21" s="29" t="s">
        <v>93</v>
      </c>
      <c r="B21" s="30" t="s">
        <v>0</v>
      </c>
      <c r="C21" s="30" t="s">
        <v>29</v>
      </c>
      <c r="D21" s="31" t="s">
        <v>1</v>
      </c>
      <c r="F21" s="59">
        <f>F20/1000000</f>
        <v>0.1039230484541326</v>
      </c>
      <c r="G21" s="248" t="s">
        <v>63</v>
      </c>
      <c r="H21" s="249"/>
    </row>
    <row r="22" spans="1:13" ht="17.25" x14ac:dyDescent="0.25">
      <c r="A22" s="71" t="s">
        <v>38</v>
      </c>
      <c r="B22" s="72">
        <f>$B$3</f>
        <v>100</v>
      </c>
      <c r="C22" s="73" t="s">
        <v>33</v>
      </c>
      <c r="D22" s="16" t="s">
        <v>97</v>
      </c>
      <c r="F22" s="37">
        <f>F21*60</f>
        <v>6.2353829072479554</v>
      </c>
      <c r="G22" s="248" t="s">
        <v>64</v>
      </c>
      <c r="H22" s="249"/>
    </row>
    <row r="23" spans="1:13" ht="17.25" x14ac:dyDescent="0.25">
      <c r="A23" s="15" t="s">
        <v>3</v>
      </c>
      <c r="B23" s="5">
        <f>$B$4</f>
        <v>5</v>
      </c>
      <c r="C23" s="6" t="s">
        <v>32</v>
      </c>
      <c r="D23" s="16" t="s">
        <v>97</v>
      </c>
      <c r="F23" s="37">
        <f>F22*0.386102</f>
        <v>2.4074938112542501</v>
      </c>
      <c r="G23" s="248" t="s">
        <v>65</v>
      </c>
      <c r="H23" s="249"/>
    </row>
    <row r="24" spans="1:13" x14ac:dyDescent="0.25">
      <c r="A24" s="15" t="s">
        <v>36</v>
      </c>
      <c r="B24" s="5">
        <f>$B$5</f>
        <v>120</v>
      </c>
      <c r="C24" s="6" t="s">
        <v>34</v>
      </c>
      <c r="D24" s="16" t="s">
        <v>97</v>
      </c>
      <c r="F24" s="39">
        <f>F22*247.105</f>
        <v>1540.7942932955059</v>
      </c>
      <c r="G24" s="248" t="s">
        <v>66</v>
      </c>
      <c r="H24" s="249"/>
    </row>
    <row r="25" spans="1:13" ht="15.75" thickBot="1" x14ac:dyDescent="0.3">
      <c r="A25" s="15" t="s">
        <v>39</v>
      </c>
      <c r="B25" s="7">
        <f>$B$24/360*$B$16</f>
        <v>213.33333333333331</v>
      </c>
      <c r="C25" s="6" t="s">
        <v>30</v>
      </c>
      <c r="D25" s="13" t="s">
        <v>6</v>
      </c>
      <c r="F25" s="82">
        <f>F22*100</f>
        <v>623.5382907247955</v>
      </c>
      <c r="G25" s="250" t="s">
        <v>67</v>
      </c>
      <c r="H25" s="251"/>
    </row>
    <row r="26" spans="1:13" ht="15.75" thickBot="1" x14ac:dyDescent="0.3">
      <c r="A26" s="15" t="s">
        <v>40</v>
      </c>
      <c r="B26" s="7">
        <f>2*$B$22*TAN(($B$24/2)*PI()/180)</f>
        <v>346.41016151377534</v>
      </c>
      <c r="C26" s="6" t="s">
        <v>33</v>
      </c>
      <c r="D26" s="13" t="s">
        <v>7</v>
      </c>
    </row>
    <row r="27" spans="1:13" ht="15.75" thickBot="1" x14ac:dyDescent="0.3">
      <c r="A27" s="15" t="s">
        <v>41</v>
      </c>
      <c r="B27" s="5">
        <f>$B$23</f>
        <v>5</v>
      </c>
      <c r="C27" s="6" t="s">
        <v>33</v>
      </c>
      <c r="D27" s="13" t="s">
        <v>3</v>
      </c>
      <c r="F27" s="252" t="s">
        <v>72</v>
      </c>
      <c r="G27" s="253"/>
      <c r="H27" s="253"/>
      <c r="I27" s="253"/>
      <c r="J27" s="254"/>
      <c r="K27" s="255" t="s">
        <v>75</v>
      </c>
      <c r="L27" s="256"/>
      <c r="M27" s="160" t="s">
        <v>189</v>
      </c>
    </row>
    <row r="28" spans="1:13" ht="18" thickBot="1" x14ac:dyDescent="0.3">
      <c r="A28" s="15" t="s">
        <v>42</v>
      </c>
      <c r="B28" s="7">
        <f>$B$26*$B$27</f>
        <v>1732.0508075688767</v>
      </c>
      <c r="C28" s="6" t="s">
        <v>53</v>
      </c>
      <c r="D28" s="13" t="s">
        <v>2</v>
      </c>
      <c r="F28" s="166" t="s">
        <v>69</v>
      </c>
      <c r="G28" s="69" t="s">
        <v>70</v>
      </c>
      <c r="H28" s="69" t="s">
        <v>71</v>
      </c>
      <c r="I28" s="69" t="s">
        <v>73</v>
      </c>
      <c r="J28" s="172" t="s">
        <v>74</v>
      </c>
      <c r="K28" s="162" t="s">
        <v>76</v>
      </c>
      <c r="L28" s="163">
        <f>B6*M28</f>
        <v>0.35</v>
      </c>
      <c r="M28">
        <v>1</v>
      </c>
    </row>
    <row r="29" spans="1:13" ht="16.5" customHeight="1" thickBot="1" x14ac:dyDescent="0.3">
      <c r="A29" s="15" t="s">
        <v>43</v>
      </c>
      <c r="B29" s="7">
        <f>$B$25*1000/$B$28</f>
        <v>123.16805742712019</v>
      </c>
      <c r="C29" s="6" t="s">
        <v>54</v>
      </c>
      <c r="D29" s="13" t="s">
        <v>4</v>
      </c>
      <c r="F29" s="178">
        <f>J42</f>
        <v>18</v>
      </c>
      <c r="G29" s="179">
        <f>$F$24/60*F29*(1-$L$28)*(1-$L$30)</f>
        <v>173.79092721148373</v>
      </c>
      <c r="H29" s="179">
        <f>$F$25/60*F29*(1-$L$28)*(1-$L$30)</f>
        <v>70.330801566736312</v>
      </c>
      <c r="I29" s="179">
        <f>$F$22/60*F29*(1-$L$28)*(1-$L$30)</f>
        <v>0.70330801566736323</v>
      </c>
      <c r="J29" s="180">
        <f>$F$23/60*F29*(1-$L$28)*(1-$L$30)</f>
        <v>0.2715486314652002</v>
      </c>
      <c r="K29" s="243" t="s">
        <v>187</v>
      </c>
      <c r="L29" s="245"/>
      <c r="M29" s="160" t="s">
        <v>189</v>
      </c>
    </row>
    <row r="30" spans="1:13" ht="15.75" thickBot="1" x14ac:dyDescent="0.3">
      <c r="A30" s="60" t="s">
        <v>44</v>
      </c>
      <c r="B30" s="61">
        <f>$B$39</f>
        <v>31.416029890561564</v>
      </c>
      <c r="C30" s="62" t="s">
        <v>58</v>
      </c>
      <c r="D30" s="63" t="s">
        <v>23</v>
      </c>
      <c r="F30" s="169">
        <v>5</v>
      </c>
      <c r="G30" s="170">
        <f t="shared" ref="G30:G39" si="0">$F$24/60*F30*(1-$L$28)*(1-$L$30)</f>
        <v>48.275257558745487</v>
      </c>
      <c r="H30" s="170">
        <f t="shared" ref="H30:H39" si="1">$F$25/60*F30*(1-$L$28)*(1-$L$30)</f>
        <v>19.536333768537865</v>
      </c>
      <c r="I30" s="170">
        <f t="shared" ref="I30:I39" si="2">$F$22/60*F30*(1-$L$28)*(1-$L$30)</f>
        <v>0.19536333768537867</v>
      </c>
      <c r="J30" s="171">
        <f t="shared" ref="J30:J39" si="3">$F$23/60*F30*(1-$L$28)*(1-$L$30)</f>
        <v>7.5430175407000075E-2</v>
      </c>
      <c r="K30" s="176" t="s">
        <v>188</v>
      </c>
      <c r="L30" s="177">
        <f>J51*M30</f>
        <v>0.42157397126955293</v>
      </c>
      <c r="M30">
        <v>1</v>
      </c>
    </row>
    <row r="31" spans="1:13" x14ac:dyDescent="0.25">
      <c r="A31" s="15" t="s">
        <v>45</v>
      </c>
      <c r="B31" s="7">
        <f>$B$41</f>
        <v>1.5625</v>
      </c>
      <c r="C31" s="6" t="s">
        <v>58</v>
      </c>
      <c r="D31" s="13" t="s">
        <v>24</v>
      </c>
      <c r="F31" s="164">
        <v>10</v>
      </c>
      <c r="G31" s="161">
        <f t="shared" si="0"/>
        <v>96.550515117490974</v>
      </c>
      <c r="H31" s="161">
        <f t="shared" si="1"/>
        <v>39.072667537075731</v>
      </c>
      <c r="I31" s="161">
        <f t="shared" si="2"/>
        <v>0.39072667537075734</v>
      </c>
      <c r="J31" s="165">
        <f t="shared" si="3"/>
        <v>0.15086035081400015</v>
      </c>
    </row>
    <row r="32" spans="1:13" x14ac:dyDescent="0.25">
      <c r="A32" s="15" t="s">
        <v>78</v>
      </c>
      <c r="B32" s="7">
        <f>2*($B$3*TAN((B18/2)/1000))*100</f>
        <v>15.200002926507345</v>
      </c>
      <c r="C32" s="6" t="s">
        <v>58</v>
      </c>
      <c r="D32" s="13" t="s">
        <v>81</v>
      </c>
      <c r="F32" s="164">
        <v>15</v>
      </c>
      <c r="G32" s="161">
        <f t="shared" si="0"/>
        <v>144.82577267623645</v>
      </c>
      <c r="H32" s="161">
        <f t="shared" si="1"/>
        <v>58.609001305613589</v>
      </c>
      <c r="I32" s="161">
        <f t="shared" si="2"/>
        <v>0.58609001305613595</v>
      </c>
      <c r="J32" s="165">
        <f t="shared" si="3"/>
        <v>0.22629052622100021</v>
      </c>
    </row>
    <row r="33" spans="1:10" ht="15.75" customHeight="1" thickBot="1" x14ac:dyDescent="0.3">
      <c r="A33" s="23" t="s">
        <v>79</v>
      </c>
      <c r="B33" s="7">
        <f>2*($B$3*TAN((B19/2)/1000))*100</f>
        <v>22.900010007496078</v>
      </c>
      <c r="C33" s="69" t="s">
        <v>58</v>
      </c>
      <c r="D33" s="21" t="s">
        <v>82</v>
      </c>
      <c r="F33" s="164">
        <v>20</v>
      </c>
      <c r="G33" s="161">
        <f t="shared" si="0"/>
        <v>193.10103023498195</v>
      </c>
      <c r="H33" s="161">
        <f t="shared" si="1"/>
        <v>78.145335074151461</v>
      </c>
      <c r="I33" s="161">
        <f t="shared" si="2"/>
        <v>0.78145335074151467</v>
      </c>
      <c r="J33" s="165">
        <f t="shared" si="3"/>
        <v>0.3017207016280003</v>
      </c>
    </row>
    <row r="34" spans="1:10" ht="14.25" customHeight="1" thickBot="1" x14ac:dyDescent="0.3">
      <c r="A34" s="240" t="s">
        <v>20</v>
      </c>
      <c r="B34" s="241"/>
      <c r="C34" s="241"/>
      <c r="D34" s="242"/>
      <c r="F34" s="164">
        <v>25</v>
      </c>
      <c r="G34" s="161">
        <f t="shared" si="0"/>
        <v>241.37628779372739</v>
      </c>
      <c r="H34" s="161">
        <f t="shared" si="1"/>
        <v>97.681668842689334</v>
      </c>
      <c r="I34" s="161">
        <f t="shared" si="2"/>
        <v>0.97681668842689329</v>
      </c>
      <c r="J34" s="165">
        <f t="shared" si="3"/>
        <v>0.37715087703500033</v>
      </c>
    </row>
    <row r="35" spans="1:10" ht="15" customHeight="1" x14ac:dyDescent="0.25">
      <c r="A35" s="15" t="s">
        <v>11</v>
      </c>
      <c r="B35" s="7">
        <f>$B$16/$B$20</f>
        <v>20</v>
      </c>
      <c r="C35" s="6" t="s">
        <v>30</v>
      </c>
      <c r="D35" s="13" t="s">
        <v>25</v>
      </c>
      <c r="F35" s="164">
        <v>30</v>
      </c>
      <c r="G35" s="161">
        <f t="shared" si="0"/>
        <v>289.65154535247291</v>
      </c>
      <c r="H35" s="161">
        <f t="shared" si="1"/>
        <v>117.21800261122718</v>
      </c>
      <c r="I35" s="161">
        <f t="shared" si="2"/>
        <v>1.1721800261122719</v>
      </c>
      <c r="J35" s="165">
        <f t="shared" si="3"/>
        <v>0.45258105244200042</v>
      </c>
    </row>
    <row r="36" spans="1:10" ht="14.25" customHeight="1" thickBot="1" x14ac:dyDescent="0.3">
      <c r="A36" s="15" t="s">
        <v>12</v>
      </c>
      <c r="B36" s="7">
        <f>$B$24/360*$B$35</f>
        <v>6.6666666666666661</v>
      </c>
      <c r="C36" s="6" t="s">
        <v>30</v>
      </c>
      <c r="D36" s="13" t="s">
        <v>15</v>
      </c>
      <c r="F36" s="173">
        <v>45</v>
      </c>
      <c r="G36" s="174">
        <f t="shared" si="0"/>
        <v>434.47731802870936</v>
      </c>
      <c r="H36" s="174">
        <f t="shared" si="1"/>
        <v>175.82700391684079</v>
      </c>
      <c r="I36" s="174">
        <f>$F$22/60*F36*(1-$L$28)*(1-$L$30)</f>
        <v>1.7582700391684081</v>
      </c>
      <c r="J36" s="175">
        <f t="shared" si="3"/>
        <v>0.67887157866300052</v>
      </c>
    </row>
    <row r="37" spans="1:10" ht="14.25" customHeight="1" thickBot="1" x14ac:dyDescent="0.3">
      <c r="A37" s="15" t="s">
        <v>21</v>
      </c>
      <c r="B37" s="7">
        <f>$B$36*1000/$B$28</f>
        <v>3.8490017945975059</v>
      </c>
      <c r="C37" s="8" t="s">
        <v>54</v>
      </c>
      <c r="D37" s="13" t="s">
        <v>22</v>
      </c>
      <c r="F37" s="178">
        <v>60</v>
      </c>
      <c r="G37" s="179">
        <f t="shared" si="0"/>
        <v>579.30309070494582</v>
      </c>
      <c r="H37" s="179">
        <f t="shared" si="1"/>
        <v>234.43600522245436</v>
      </c>
      <c r="I37" s="179">
        <f t="shared" si="2"/>
        <v>2.3443600522245438</v>
      </c>
      <c r="J37" s="180">
        <f t="shared" si="3"/>
        <v>0.90516210488400084</v>
      </c>
    </row>
    <row r="38" spans="1:10" ht="14.25" customHeight="1" x14ac:dyDescent="0.25">
      <c r="A38" s="15" t="s">
        <v>56</v>
      </c>
      <c r="B38" s="32">
        <f>(360*$B$17)/($B$35*1000)</f>
        <v>0.18</v>
      </c>
      <c r="C38" s="8" t="s">
        <v>57</v>
      </c>
      <c r="D38" s="13" t="s">
        <v>55</v>
      </c>
      <c r="F38" s="169">
        <v>75</v>
      </c>
      <c r="G38" s="170">
        <f t="shared" si="0"/>
        <v>724.12886338118221</v>
      </c>
      <c r="H38" s="170">
        <f t="shared" si="1"/>
        <v>293.04500652806792</v>
      </c>
      <c r="I38" s="170">
        <f t="shared" si="2"/>
        <v>2.93045006528068</v>
      </c>
      <c r="J38" s="171">
        <f t="shared" si="3"/>
        <v>1.131452631105001</v>
      </c>
    </row>
    <row r="39" spans="1:10" ht="15.75" thickBot="1" x14ac:dyDescent="0.3">
      <c r="A39" s="15" t="s">
        <v>13</v>
      </c>
      <c r="B39" s="7">
        <f>$B$22*TAN(($B$38)*PI()/180)*100</f>
        <v>31.416029890561564</v>
      </c>
      <c r="C39" s="9" t="s">
        <v>58</v>
      </c>
      <c r="D39" s="33" t="s">
        <v>59</v>
      </c>
      <c r="F39" s="166">
        <v>90</v>
      </c>
      <c r="G39" s="167">
        <f t="shared" si="0"/>
        <v>868.95463605741872</v>
      </c>
      <c r="H39" s="167">
        <f t="shared" si="1"/>
        <v>351.65400783368159</v>
      </c>
      <c r="I39" s="167">
        <f t="shared" si="2"/>
        <v>3.5165400783368161</v>
      </c>
      <c r="J39" s="168">
        <f t="shared" si="3"/>
        <v>1.357743157326001</v>
      </c>
    </row>
    <row r="40" spans="1:10" ht="15.75" thickBot="1" x14ac:dyDescent="0.3">
      <c r="A40" s="15" t="s">
        <v>14</v>
      </c>
      <c r="B40" s="7">
        <f>$B$23/$B$17*100</f>
        <v>50</v>
      </c>
      <c r="C40" s="9" t="s">
        <v>58</v>
      </c>
      <c r="D40" s="13" t="s">
        <v>5</v>
      </c>
    </row>
    <row r="41" spans="1:10" ht="15.75" thickBot="1" x14ac:dyDescent="0.3">
      <c r="A41" s="15" t="s">
        <v>9</v>
      </c>
      <c r="B41" s="7">
        <f>$B$23/$B$17/$B$20*100</f>
        <v>1.5625</v>
      </c>
      <c r="C41" s="9" t="s">
        <v>58</v>
      </c>
      <c r="D41" s="13" t="s">
        <v>17</v>
      </c>
      <c r="F41" s="243" t="s">
        <v>190</v>
      </c>
      <c r="G41" s="244"/>
      <c r="H41" s="244"/>
      <c r="I41" s="244"/>
      <c r="J41" s="245"/>
    </row>
    <row r="42" spans="1:10" x14ac:dyDescent="0.25">
      <c r="A42" s="17" t="s">
        <v>16</v>
      </c>
      <c r="B42" s="10">
        <f>2*$B$22*TAN((1/2)*PI()/180)</f>
        <v>1.7453735581517578</v>
      </c>
      <c r="C42" s="8" t="s">
        <v>33</v>
      </c>
      <c r="D42" s="13" t="s">
        <v>194</v>
      </c>
      <c r="F42" s="246" t="s">
        <v>182</v>
      </c>
      <c r="G42" s="247"/>
      <c r="H42" s="247"/>
      <c r="I42" s="247"/>
      <c r="J42" s="181">
        <v>18</v>
      </c>
    </row>
    <row r="43" spans="1:10" x14ac:dyDescent="0.25">
      <c r="A43" s="17" t="s">
        <v>18</v>
      </c>
      <c r="B43" s="11">
        <f>$B$42/($B$40/100)</f>
        <v>3.4907471163035155</v>
      </c>
      <c r="C43" s="9" t="s">
        <v>47</v>
      </c>
      <c r="D43" s="13" t="s">
        <v>26</v>
      </c>
      <c r="F43" s="236" t="s">
        <v>177</v>
      </c>
      <c r="G43" s="237"/>
      <c r="H43" s="237"/>
      <c r="I43" s="237"/>
      <c r="J43" s="182">
        <v>10</v>
      </c>
    </row>
    <row r="44" spans="1:10" ht="15" customHeight="1" thickBot="1" x14ac:dyDescent="0.3">
      <c r="A44" s="18" t="s">
        <v>19</v>
      </c>
      <c r="B44" s="19">
        <f>B43/B17</f>
        <v>0.34907471163035153</v>
      </c>
      <c r="C44" s="20" t="s">
        <v>46</v>
      </c>
      <c r="D44" s="21" t="s">
        <v>27</v>
      </c>
      <c r="F44" s="236" t="s">
        <v>183</v>
      </c>
      <c r="G44" s="237"/>
      <c r="H44" s="237"/>
      <c r="I44" s="237"/>
      <c r="J44" s="182">
        <v>15</v>
      </c>
    </row>
    <row r="45" spans="1:10" ht="15" customHeight="1" x14ac:dyDescent="0.25">
      <c r="F45" s="236" t="s">
        <v>184</v>
      </c>
      <c r="G45" s="237"/>
      <c r="H45" s="237"/>
      <c r="I45" s="237"/>
      <c r="J45" s="182">
        <v>10</v>
      </c>
    </row>
    <row r="46" spans="1:10" x14ac:dyDescent="0.25">
      <c r="F46" s="236" t="s">
        <v>185</v>
      </c>
      <c r="G46" s="237"/>
      <c r="H46" s="237"/>
      <c r="I46" s="237"/>
      <c r="J46" s="182">
        <v>10</v>
      </c>
    </row>
    <row r="47" spans="1:10" x14ac:dyDescent="0.25">
      <c r="F47" s="236" t="s">
        <v>186</v>
      </c>
      <c r="G47" s="237"/>
      <c r="H47" s="237"/>
      <c r="I47" s="237"/>
      <c r="J47" s="182">
        <v>15</v>
      </c>
    </row>
    <row r="48" spans="1:10" x14ac:dyDescent="0.25">
      <c r="F48" s="238" t="s">
        <v>176</v>
      </c>
      <c r="G48" s="239"/>
      <c r="H48" s="239"/>
      <c r="I48" s="239"/>
      <c r="J48" s="183">
        <f>B8/B4</f>
        <v>45.033320996790799</v>
      </c>
    </row>
    <row r="49" spans="6:12" x14ac:dyDescent="0.25">
      <c r="F49" s="238" t="s">
        <v>178</v>
      </c>
      <c r="G49" s="239"/>
      <c r="H49" s="239"/>
      <c r="I49" s="239"/>
      <c r="J49" s="183">
        <f>J48*(J43-1)</f>
        <v>405.29988897111718</v>
      </c>
    </row>
    <row r="50" spans="6:12" x14ac:dyDescent="0.25">
      <c r="F50" s="238" t="s">
        <v>179</v>
      </c>
      <c r="G50" s="239"/>
      <c r="H50" s="239"/>
      <c r="I50" s="239"/>
      <c r="J50" s="183">
        <f>J44+J45+J46+J47+J49</f>
        <v>455.29988897111718</v>
      </c>
    </row>
    <row r="51" spans="6:12" x14ac:dyDescent="0.25">
      <c r="F51" s="238" t="s">
        <v>180</v>
      </c>
      <c r="G51" s="239"/>
      <c r="H51" s="239"/>
      <c r="I51" s="239"/>
      <c r="J51" s="184">
        <f>J50/(J42*60)</f>
        <v>0.42157397126955293</v>
      </c>
    </row>
    <row r="52" spans="6:12" ht="15.75" thickBot="1" x14ac:dyDescent="0.3">
      <c r="F52" s="234" t="s">
        <v>181</v>
      </c>
      <c r="G52" s="235"/>
      <c r="H52" s="235"/>
      <c r="I52" s="235"/>
      <c r="J52" s="185">
        <f>1-J51</f>
        <v>0.57842602873044702</v>
      </c>
    </row>
    <row r="55" spans="6:12" x14ac:dyDescent="0.25">
      <c r="F55" t="s">
        <v>197</v>
      </c>
      <c r="J55" s="94">
        <v>5000</v>
      </c>
    </row>
    <row r="56" spans="6:12" x14ac:dyDescent="0.25">
      <c r="F56" t="s">
        <v>198</v>
      </c>
      <c r="J56" s="94">
        <v>2500</v>
      </c>
    </row>
    <row r="57" spans="6:12" x14ac:dyDescent="0.25">
      <c r="F57" t="s">
        <v>199</v>
      </c>
      <c r="J57" s="195">
        <f>B8</f>
        <v>225.16660498395399</v>
      </c>
    </row>
    <row r="58" spans="6:12" x14ac:dyDescent="0.25">
      <c r="F58" t="s">
        <v>229</v>
      </c>
      <c r="J58" s="195">
        <f>J55/J57</f>
        <v>22.20577958421638</v>
      </c>
    </row>
    <row r="59" spans="6:12" x14ac:dyDescent="0.25">
      <c r="F59" t="s">
        <v>230</v>
      </c>
      <c r="J59" s="195">
        <f>J56/J57</f>
        <v>11.10288979210819</v>
      </c>
    </row>
    <row r="60" spans="6:12" x14ac:dyDescent="0.25">
      <c r="F60" t="s">
        <v>200</v>
      </c>
      <c r="J60">
        <f>J55/B4</f>
        <v>1000</v>
      </c>
      <c r="K60" s="195">
        <f>J60/60</f>
        <v>16.666666666666668</v>
      </c>
    </row>
    <row r="61" spans="6:12" x14ac:dyDescent="0.25">
      <c r="F61" t="s">
        <v>201</v>
      </c>
      <c r="J61">
        <f>J56/B4</f>
        <v>500</v>
      </c>
      <c r="K61" s="195">
        <f>J61/60</f>
        <v>8.3333333333333339</v>
      </c>
    </row>
    <row r="62" spans="6:12" x14ac:dyDescent="0.25">
      <c r="F62" t="s">
        <v>207</v>
      </c>
      <c r="J62" s="195">
        <f>J60*J58</f>
        <v>22205.77958421638</v>
      </c>
      <c r="K62" s="195">
        <f>J62/60</f>
        <v>370.09632640360633</v>
      </c>
      <c r="L62" s="195">
        <f>K62/60</f>
        <v>6.1682721067267723</v>
      </c>
    </row>
    <row r="63" spans="6:12" x14ac:dyDescent="0.25">
      <c r="F63" t="s">
        <v>208</v>
      </c>
      <c r="J63" s="195">
        <f>J61*J59</f>
        <v>5551.4448960540949</v>
      </c>
      <c r="K63" s="195">
        <f>J63/60</f>
        <v>92.524081600901582</v>
      </c>
      <c r="L63" s="195">
        <f>K63/60</f>
        <v>1.5420680266816931</v>
      </c>
    </row>
    <row r="65" spans="6:12" x14ac:dyDescent="0.25">
      <c r="F65" t="s">
        <v>202</v>
      </c>
      <c r="J65" s="195">
        <f>J57/B4</f>
        <v>45.033320996790799</v>
      </c>
    </row>
    <row r="66" spans="6:12" x14ac:dyDescent="0.25">
      <c r="F66" t="s">
        <v>203</v>
      </c>
      <c r="J66" s="196">
        <f>J58-1</f>
        <v>21.20577958421638</v>
      </c>
    </row>
    <row r="67" spans="6:12" x14ac:dyDescent="0.25">
      <c r="F67" t="s">
        <v>204</v>
      </c>
      <c r="J67" s="196">
        <f>J59-1</f>
        <v>10.10288979210819</v>
      </c>
    </row>
    <row r="68" spans="6:12" x14ac:dyDescent="0.25">
      <c r="F68" t="s">
        <v>205</v>
      </c>
      <c r="J68" s="195">
        <f>J65*J66</f>
        <v>954.96667900320915</v>
      </c>
      <c r="K68" s="195">
        <f>J68/60</f>
        <v>15.916111316720153</v>
      </c>
      <c r="L68" s="195">
        <f>K68/60</f>
        <v>0.2652685219453359</v>
      </c>
    </row>
    <row r="69" spans="6:12" x14ac:dyDescent="0.25">
      <c r="F69" t="s">
        <v>206</v>
      </c>
      <c r="J69" s="195">
        <f>J65*J67</f>
        <v>454.96667900320921</v>
      </c>
      <c r="K69" s="195">
        <f>J69/60</f>
        <v>7.5827779833868201</v>
      </c>
      <c r="L69" s="195">
        <f>K69/60</f>
        <v>0.126379633056447</v>
      </c>
    </row>
    <row r="71" spans="6:12" x14ac:dyDescent="0.25">
      <c r="F71" t="s">
        <v>209</v>
      </c>
      <c r="J71" s="94">
        <v>20</v>
      </c>
    </row>
    <row r="72" spans="6:12" x14ac:dyDescent="0.25">
      <c r="F72" t="s">
        <v>210</v>
      </c>
      <c r="J72" s="94">
        <v>500</v>
      </c>
    </row>
    <row r="73" spans="6:12" x14ac:dyDescent="0.25">
      <c r="F73" t="s">
        <v>211</v>
      </c>
      <c r="J73">
        <f>J55/J72</f>
        <v>10</v>
      </c>
    </row>
    <row r="74" spans="6:12" x14ac:dyDescent="0.25">
      <c r="F74" t="s">
        <v>212</v>
      </c>
      <c r="J74" s="195">
        <f>J73*J58</f>
        <v>222.05779584216378</v>
      </c>
    </row>
    <row r="75" spans="6:12" x14ac:dyDescent="0.25">
      <c r="F75" t="s">
        <v>215</v>
      </c>
      <c r="J75">
        <f>J56/J72</f>
        <v>5</v>
      </c>
    </row>
    <row r="76" spans="6:12" x14ac:dyDescent="0.25">
      <c r="F76" t="s">
        <v>216</v>
      </c>
      <c r="J76" s="195">
        <f>J75*J59</f>
        <v>55.514448960540946</v>
      </c>
    </row>
    <row r="77" spans="6:12" x14ac:dyDescent="0.25">
      <c r="F77" t="s">
        <v>213</v>
      </c>
      <c r="J77" s="195">
        <f>J74*J71</f>
        <v>4441.1559168432759</v>
      </c>
      <c r="K77" s="195">
        <f>J77/60</f>
        <v>74.019265280721271</v>
      </c>
      <c r="L77" s="195">
        <f>K77/60</f>
        <v>1.2336544213453544</v>
      </c>
    </row>
    <row r="78" spans="6:12" x14ac:dyDescent="0.25">
      <c r="F78" t="s">
        <v>214</v>
      </c>
      <c r="J78" s="195">
        <f>J76*J71</f>
        <v>1110.288979210819</v>
      </c>
      <c r="K78" s="195">
        <f>J78/60</f>
        <v>18.504816320180318</v>
      </c>
      <c r="L78" s="195">
        <f>K78/60</f>
        <v>0.3084136053363386</v>
      </c>
    </row>
    <row r="80" spans="6:12" x14ac:dyDescent="0.25">
      <c r="F80" t="s">
        <v>217</v>
      </c>
      <c r="J80" s="195">
        <f>J62+J68+J77</f>
        <v>27601.902180062865</v>
      </c>
      <c r="K80" s="195">
        <f>J80/60</f>
        <v>460.03170300104773</v>
      </c>
      <c r="L80" s="195">
        <f>K80/60</f>
        <v>7.6671950500174626</v>
      </c>
    </row>
    <row r="81" spans="6:12" x14ac:dyDescent="0.25">
      <c r="F81" t="s">
        <v>218</v>
      </c>
      <c r="J81" s="195">
        <f>J63+J69+J78</f>
        <v>7116.7005542681227</v>
      </c>
      <c r="K81" s="195">
        <f>J81/60</f>
        <v>118.61167590446871</v>
      </c>
      <c r="L81" s="195">
        <f>K81/60</f>
        <v>1.9768612650744786</v>
      </c>
    </row>
    <row r="83" spans="6:12" x14ac:dyDescent="0.25">
      <c r="F83" t="s">
        <v>219</v>
      </c>
      <c r="J83" s="94">
        <v>20</v>
      </c>
    </row>
    <row r="84" spans="6:12" x14ac:dyDescent="0.25">
      <c r="F84" t="s">
        <v>220</v>
      </c>
      <c r="J84">
        <f>J83/K60</f>
        <v>1.2</v>
      </c>
    </row>
    <row r="85" spans="6:12" x14ac:dyDescent="0.25">
      <c r="F85" t="s">
        <v>221</v>
      </c>
      <c r="J85">
        <f>J83/K61</f>
        <v>2.4</v>
      </c>
    </row>
    <row r="86" spans="6:12" x14ac:dyDescent="0.25">
      <c r="F86" t="s">
        <v>222</v>
      </c>
      <c r="J86" s="195">
        <f>K80/J83</f>
        <v>23.001585150052385</v>
      </c>
    </row>
    <row r="87" spans="6:12" x14ac:dyDescent="0.25">
      <c r="F87" t="s">
        <v>223</v>
      </c>
      <c r="J87" s="195">
        <f>K81/J83</f>
        <v>5.9305837952234359</v>
      </c>
    </row>
    <row r="88" spans="6:12" x14ac:dyDescent="0.25">
      <c r="F88" t="s">
        <v>224</v>
      </c>
      <c r="J88" s="195">
        <f>J58/J84</f>
        <v>18.504816320180318</v>
      </c>
    </row>
    <row r="89" spans="6:12" x14ac:dyDescent="0.25">
      <c r="F89" t="s">
        <v>225</v>
      </c>
      <c r="J89" s="195">
        <f>J59/J85</f>
        <v>4.6262040800450794</v>
      </c>
    </row>
    <row r="91" spans="6:12" x14ac:dyDescent="0.25">
      <c r="F91" t="s">
        <v>228</v>
      </c>
      <c r="J91" s="94">
        <v>2500</v>
      </c>
    </row>
    <row r="92" spans="6:12" x14ac:dyDescent="0.25">
      <c r="F92" t="s">
        <v>226</v>
      </c>
      <c r="J92">
        <f>J55/J91</f>
        <v>2</v>
      </c>
    </row>
    <row r="93" spans="6:12" x14ac:dyDescent="0.25">
      <c r="F93" t="s">
        <v>227</v>
      </c>
      <c r="J93">
        <f>J56/J91</f>
        <v>1</v>
      </c>
    </row>
  </sheetData>
  <mergeCells count="25">
    <mergeCell ref="K27:L27"/>
    <mergeCell ref="K29:L29"/>
    <mergeCell ref="A1:D1"/>
    <mergeCell ref="F18:H18"/>
    <mergeCell ref="G19:H19"/>
    <mergeCell ref="G20:H20"/>
    <mergeCell ref="G21:H21"/>
    <mergeCell ref="G22:H22"/>
    <mergeCell ref="F45:I45"/>
    <mergeCell ref="G23:H23"/>
    <mergeCell ref="G24:H24"/>
    <mergeCell ref="G25:H25"/>
    <mergeCell ref="F27:J27"/>
    <mergeCell ref="A34:D34"/>
    <mergeCell ref="F41:J41"/>
    <mergeCell ref="F42:I42"/>
    <mergeCell ref="F43:I43"/>
    <mergeCell ref="F44:I44"/>
    <mergeCell ref="F52:I52"/>
    <mergeCell ref="F46:I46"/>
    <mergeCell ref="F47:I47"/>
    <mergeCell ref="F48:I48"/>
    <mergeCell ref="F49:I49"/>
    <mergeCell ref="F50:I50"/>
    <mergeCell ref="F51:I51"/>
  </mergeCells>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C46744-A174-42B2-9393-326B11CA72B2}">
  <sheetPr>
    <tabColor rgb="FF00B050"/>
  </sheetPr>
  <dimension ref="A1:M93"/>
  <sheetViews>
    <sheetView workbookViewId="0">
      <selection activeCell="D7" sqref="D7"/>
    </sheetView>
  </sheetViews>
  <sheetFormatPr defaultRowHeight="15" x14ac:dyDescent="0.25"/>
  <cols>
    <col min="1" max="1" width="55.85546875" bestFit="1" customWidth="1"/>
    <col min="2" max="2" width="9.140625" style="1"/>
    <col min="3" max="3" width="10" style="1" bestFit="1" customWidth="1"/>
    <col min="4" max="4" width="77.5703125" bestFit="1" customWidth="1"/>
    <col min="6" max="6" width="11.42578125" customWidth="1"/>
    <col min="7" max="7" width="13.7109375" customWidth="1"/>
    <col min="10" max="10" width="9.5703125" bestFit="1" customWidth="1"/>
  </cols>
  <sheetData>
    <row r="1" spans="1:13" ht="19.5" thickBot="1" x14ac:dyDescent="0.35">
      <c r="A1" s="257" t="s">
        <v>232</v>
      </c>
      <c r="B1" s="258"/>
      <c r="C1" s="258"/>
      <c r="D1" s="259"/>
    </row>
    <row r="2" spans="1:13" ht="15.75" thickBot="1" x14ac:dyDescent="0.3">
      <c r="A2" s="79" t="s">
        <v>94</v>
      </c>
      <c r="B2" s="64" t="s">
        <v>0</v>
      </c>
      <c r="C2" s="80" t="s">
        <v>29</v>
      </c>
      <c r="D2" s="81" t="s">
        <v>1</v>
      </c>
      <c r="K2" s="34" t="s">
        <v>61</v>
      </c>
      <c r="L2" s="35" t="s">
        <v>233</v>
      </c>
      <c r="M2" s="36">
        <v>45021</v>
      </c>
    </row>
    <row r="3" spans="1:13" x14ac:dyDescent="0.25">
      <c r="A3" s="65" t="s">
        <v>134</v>
      </c>
      <c r="B3" s="66">
        <v>80</v>
      </c>
      <c r="C3" s="67" t="s">
        <v>33</v>
      </c>
      <c r="D3" s="68" t="s">
        <v>283</v>
      </c>
    </row>
    <row r="4" spans="1:13" x14ac:dyDescent="0.25">
      <c r="A4" s="12" t="s">
        <v>135</v>
      </c>
      <c r="B4" s="58">
        <v>5</v>
      </c>
      <c r="C4" s="2" t="s">
        <v>32</v>
      </c>
      <c r="D4" s="13" t="s">
        <v>51</v>
      </c>
    </row>
    <row r="5" spans="1:13" x14ac:dyDescent="0.25">
      <c r="A5" s="12" t="s">
        <v>136</v>
      </c>
      <c r="B5" s="58">
        <v>90</v>
      </c>
      <c r="C5" s="2" t="s">
        <v>34</v>
      </c>
      <c r="D5" s="13" t="s">
        <v>52</v>
      </c>
    </row>
    <row r="6" spans="1:13" x14ac:dyDescent="0.25">
      <c r="A6" s="12" t="s">
        <v>139</v>
      </c>
      <c r="B6" s="99">
        <v>0.5</v>
      </c>
      <c r="C6" s="2" t="s">
        <v>137</v>
      </c>
      <c r="D6" s="13" t="s">
        <v>138</v>
      </c>
    </row>
    <row r="7" spans="1:13" x14ac:dyDescent="0.25">
      <c r="A7" s="14" t="s">
        <v>140</v>
      </c>
      <c r="B7" s="100">
        <f>2*$B$22*TAN(($B$24/2)*PI()/180)</f>
        <v>159.99999999999997</v>
      </c>
      <c r="C7" s="2" t="s">
        <v>33</v>
      </c>
      <c r="D7" s="13"/>
    </row>
    <row r="8" spans="1:13" x14ac:dyDescent="0.25">
      <c r="A8" s="14" t="s">
        <v>144</v>
      </c>
      <c r="B8" s="101">
        <f>B7*(1-B6)</f>
        <v>79.999999999999986</v>
      </c>
      <c r="C8" s="2" t="s">
        <v>33</v>
      </c>
      <c r="D8" s="13"/>
    </row>
    <row r="9" spans="1:13" ht="15.75" customHeight="1" x14ac:dyDescent="0.25">
      <c r="A9" s="14" t="s">
        <v>142</v>
      </c>
      <c r="B9" s="4">
        <f>$B$29</f>
        <v>200.00000000000003</v>
      </c>
      <c r="C9" s="3" t="s">
        <v>60</v>
      </c>
      <c r="D9" s="13" t="s">
        <v>8</v>
      </c>
    </row>
    <row r="10" spans="1:13" ht="15.75" customHeight="1" x14ac:dyDescent="0.25">
      <c r="A10" s="14" t="s">
        <v>143</v>
      </c>
      <c r="B10" s="4">
        <f>B9*2</f>
        <v>400.00000000000006</v>
      </c>
      <c r="C10" s="3" t="s">
        <v>60</v>
      </c>
      <c r="D10" s="13" t="s">
        <v>8</v>
      </c>
    </row>
    <row r="11" spans="1:13" x14ac:dyDescent="0.25">
      <c r="A11" s="14" t="s">
        <v>48</v>
      </c>
      <c r="B11" s="4">
        <f>$B$30</f>
        <v>25.132823912449247</v>
      </c>
      <c r="C11" s="3" t="s">
        <v>58</v>
      </c>
      <c r="D11" s="13" t="s">
        <v>141</v>
      </c>
    </row>
    <row r="12" spans="1:13" x14ac:dyDescent="0.25">
      <c r="A12" s="14" t="s">
        <v>49</v>
      </c>
      <c r="B12" s="4">
        <f>$B$31</f>
        <v>1.5625</v>
      </c>
      <c r="C12" s="3" t="s">
        <v>58</v>
      </c>
      <c r="D12" s="13" t="s">
        <v>141</v>
      </c>
    </row>
    <row r="13" spans="1:13" x14ac:dyDescent="0.25">
      <c r="A13" s="14" t="s">
        <v>85</v>
      </c>
      <c r="B13" s="4">
        <f>B32</f>
        <v>12.160002341205875</v>
      </c>
      <c r="C13" s="3" t="s">
        <v>58</v>
      </c>
      <c r="D13" s="13" t="s">
        <v>87</v>
      </c>
    </row>
    <row r="14" spans="1:13" ht="15.75" thickBot="1" x14ac:dyDescent="0.3">
      <c r="A14" s="22" t="s">
        <v>86</v>
      </c>
      <c r="B14" s="77">
        <f>B33</f>
        <v>18.320008005996865</v>
      </c>
      <c r="C14" s="78" t="s">
        <v>58</v>
      </c>
      <c r="D14" s="70" t="s">
        <v>87</v>
      </c>
    </row>
    <row r="15" spans="1:13" ht="15.75" thickBot="1" x14ac:dyDescent="0.3">
      <c r="A15" s="29" t="s">
        <v>92</v>
      </c>
      <c r="B15" s="30" t="s">
        <v>0</v>
      </c>
      <c r="C15" s="30" t="s">
        <v>29</v>
      </c>
      <c r="D15" s="31" t="s">
        <v>1</v>
      </c>
    </row>
    <row r="16" spans="1:13" x14ac:dyDescent="0.25">
      <c r="A16" s="24" t="s">
        <v>35</v>
      </c>
      <c r="B16" s="9">
        <v>640</v>
      </c>
      <c r="C16" s="6" t="s">
        <v>30</v>
      </c>
      <c r="D16" s="16" t="s">
        <v>89</v>
      </c>
    </row>
    <row r="17" spans="1:13" ht="14.25" customHeight="1" thickBot="1" x14ac:dyDescent="0.3">
      <c r="A17" s="24" t="s">
        <v>37</v>
      </c>
      <c r="B17" s="6">
        <v>10</v>
      </c>
      <c r="C17" s="6" t="s">
        <v>31</v>
      </c>
      <c r="D17" s="13" t="s">
        <v>271</v>
      </c>
    </row>
    <row r="18" spans="1:13" ht="16.5" customHeight="1" thickBot="1" x14ac:dyDescent="0.3">
      <c r="A18" s="24" t="s">
        <v>83</v>
      </c>
      <c r="B18" s="6">
        <v>1.52</v>
      </c>
      <c r="C18" s="6" t="s">
        <v>77</v>
      </c>
      <c r="D18" s="13" t="s">
        <v>272</v>
      </c>
      <c r="F18" s="260" t="s">
        <v>98</v>
      </c>
      <c r="G18" s="255"/>
      <c r="H18" s="256"/>
    </row>
    <row r="19" spans="1:13" ht="15" customHeight="1" x14ac:dyDescent="0.25">
      <c r="A19" s="24" t="s">
        <v>84</v>
      </c>
      <c r="B19" s="6">
        <v>2.29</v>
      </c>
      <c r="C19" s="6" t="s">
        <v>77</v>
      </c>
      <c r="D19" s="13" t="s">
        <v>272</v>
      </c>
      <c r="F19" s="39">
        <f>$B$28</f>
        <v>799.99999999999989</v>
      </c>
      <c r="G19" s="261" t="s">
        <v>68</v>
      </c>
      <c r="H19" s="262"/>
    </row>
    <row r="20" spans="1:13" ht="15.75" customHeight="1" thickBot="1" x14ac:dyDescent="0.3">
      <c r="A20" s="25" t="s">
        <v>10</v>
      </c>
      <c r="B20" s="26">
        <v>32</v>
      </c>
      <c r="C20" s="28" t="s">
        <v>47</v>
      </c>
      <c r="D20" s="27" t="s">
        <v>96</v>
      </c>
      <c r="F20" s="39">
        <f>F19*60</f>
        <v>47999.999999999993</v>
      </c>
      <c r="G20" s="248" t="s">
        <v>62</v>
      </c>
      <c r="H20" s="249"/>
    </row>
    <row r="21" spans="1:13" ht="18" thickBot="1" x14ac:dyDescent="0.3">
      <c r="A21" s="29" t="s">
        <v>93</v>
      </c>
      <c r="B21" s="30" t="s">
        <v>0</v>
      </c>
      <c r="C21" s="30" t="s">
        <v>29</v>
      </c>
      <c r="D21" s="31" t="s">
        <v>1</v>
      </c>
      <c r="F21" s="59">
        <f>F20/1000000</f>
        <v>4.7999999999999994E-2</v>
      </c>
      <c r="G21" s="248" t="s">
        <v>63</v>
      </c>
      <c r="H21" s="249"/>
    </row>
    <row r="22" spans="1:13" ht="17.25" x14ac:dyDescent="0.25">
      <c r="A22" s="71" t="s">
        <v>38</v>
      </c>
      <c r="B22" s="72">
        <f>$B$3</f>
        <v>80</v>
      </c>
      <c r="C22" s="73" t="s">
        <v>33</v>
      </c>
      <c r="D22" s="16" t="s">
        <v>97</v>
      </c>
      <c r="F22" s="37">
        <f>F21*60</f>
        <v>2.8799999999999994</v>
      </c>
      <c r="G22" s="248" t="s">
        <v>64</v>
      </c>
      <c r="H22" s="249"/>
    </row>
    <row r="23" spans="1:13" ht="17.25" x14ac:dyDescent="0.25">
      <c r="A23" s="15" t="s">
        <v>3</v>
      </c>
      <c r="B23" s="5">
        <f>$B$4</f>
        <v>5</v>
      </c>
      <c r="C23" s="6" t="s">
        <v>32</v>
      </c>
      <c r="D23" s="16" t="s">
        <v>97</v>
      </c>
      <c r="F23" s="37">
        <f>F22*0.386102</f>
        <v>1.1119737599999997</v>
      </c>
      <c r="G23" s="248" t="s">
        <v>65</v>
      </c>
      <c r="H23" s="249"/>
    </row>
    <row r="24" spans="1:13" x14ac:dyDescent="0.25">
      <c r="A24" s="15" t="s">
        <v>36</v>
      </c>
      <c r="B24" s="5">
        <f>$B$5</f>
        <v>90</v>
      </c>
      <c r="C24" s="6" t="s">
        <v>34</v>
      </c>
      <c r="D24" s="16" t="s">
        <v>97</v>
      </c>
      <c r="F24" s="39">
        <f>F22*247.105</f>
        <v>711.66239999999982</v>
      </c>
      <c r="G24" s="248" t="s">
        <v>66</v>
      </c>
      <c r="H24" s="249"/>
    </row>
    <row r="25" spans="1:13" ht="15.75" thickBot="1" x14ac:dyDescent="0.3">
      <c r="A25" s="15" t="s">
        <v>39</v>
      </c>
      <c r="B25" s="7">
        <f>$B$24/360*$B$16</f>
        <v>160</v>
      </c>
      <c r="C25" s="6" t="s">
        <v>30</v>
      </c>
      <c r="D25" s="13" t="s">
        <v>6</v>
      </c>
      <c r="F25" s="82">
        <f>F22*100</f>
        <v>287.99999999999994</v>
      </c>
      <c r="G25" s="250" t="s">
        <v>67</v>
      </c>
      <c r="H25" s="251"/>
    </row>
    <row r="26" spans="1:13" ht="15.75" thickBot="1" x14ac:dyDescent="0.3">
      <c r="A26" s="15" t="s">
        <v>40</v>
      </c>
      <c r="B26" s="7">
        <f>2*$B$22*TAN(($B$24/2)*PI()/180)</f>
        <v>159.99999999999997</v>
      </c>
      <c r="C26" s="6" t="s">
        <v>33</v>
      </c>
      <c r="D26" s="13" t="s">
        <v>7</v>
      </c>
    </row>
    <row r="27" spans="1:13" ht="15.75" thickBot="1" x14ac:dyDescent="0.3">
      <c r="A27" s="15" t="s">
        <v>41</v>
      </c>
      <c r="B27" s="5">
        <f>$B$23</f>
        <v>5</v>
      </c>
      <c r="C27" s="6" t="s">
        <v>33</v>
      </c>
      <c r="D27" s="13" t="s">
        <v>3</v>
      </c>
      <c r="F27" s="252" t="s">
        <v>72</v>
      </c>
      <c r="G27" s="253"/>
      <c r="H27" s="253"/>
      <c r="I27" s="253"/>
      <c r="J27" s="254"/>
      <c r="K27" s="255" t="s">
        <v>75</v>
      </c>
      <c r="L27" s="256"/>
      <c r="M27" s="160" t="s">
        <v>189</v>
      </c>
    </row>
    <row r="28" spans="1:13" ht="18" thickBot="1" x14ac:dyDescent="0.3">
      <c r="A28" s="15" t="s">
        <v>42</v>
      </c>
      <c r="B28" s="7">
        <f>$B$26*$B$27</f>
        <v>799.99999999999989</v>
      </c>
      <c r="C28" s="6" t="s">
        <v>53</v>
      </c>
      <c r="D28" s="13" t="s">
        <v>2</v>
      </c>
      <c r="F28" s="166" t="s">
        <v>69</v>
      </c>
      <c r="G28" s="69" t="s">
        <v>70</v>
      </c>
      <c r="H28" s="69" t="s">
        <v>71</v>
      </c>
      <c r="I28" s="69" t="s">
        <v>73</v>
      </c>
      <c r="J28" s="172" t="s">
        <v>74</v>
      </c>
      <c r="K28" s="162" t="s">
        <v>76</v>
      </c>
      <c r="L28" s="163">
        <f>B6*M28</f>
        <v>0.5</v>
      </c>
      <c r="M28">
        <v>1</v>
      </c>
    </row>
    <row r="29" spans="1:13" ht="16.5" customHeight="1" thickBot="1" x14ac:dyDescent="0.3">
      <c r="A29" s="15" t="s">
        <v>43</v>
      </c>
      <c r="B29" s="7">
        <f>$B$25*1000/$B$28</f>
        <v>200.00000000000003</v>
      </c>
      <c r="C29" s="6" t="s">
        <v>54</v>
      </c>
      <c r="D29" s="13" t="s">
        <v>4</v>
      </c>
      <c r="F29" s="178">
        <f>J42</f>
        <v>18</v>
      </c>
      <c r="G29" s="179">
        <f>$F$24/60*F29*(1-$L$28)*(1-$L$30)</f>
        <v>87.574011999999996</v>
      </c>
      <c r="H29" s="179">
        <f>$F$25/60*F29*(1-$L$28)*(1-$L$30)</f>
        <v>35.439999999999991</v>
      </c>
      <c r="I29" s="179">
        <f>$F$22/60*F29*(1-$L$28)*(1-$L$30)</f>
        <v>0.35439999999999999</v>
      </c>
      <c r="J29" s="180">
        <f>$F$23/60*F29*(1-$L$28)*(1-$L$30)</f>
        <v>0.13683454879999998</v>
      </c>
      <c r="K29" s="243" t="s">
        <v>187</v>
      </c>
      <c r="L29" s="245"/>
      <c r="M29" s="160" t="s">
        <v>189</v>
      </c>
    </row>
    <row r="30" spans="1:13" ht="15.75" thickBot="1" x14ac:dyDescent="0.3">
      <c r="A30" s="60" t="s">
        <v>44</v>
      </c>
      <c r="B30" s="61">
        <f>$B$39</f>
        <v>25.132823912449247</v>
      </c>
      <c r="C30" s="62" t="s">
        <v>58</v>
      </c>
      <c r="D30" s="63" t="s">
        <v>23</v>
      </c>
      <c r="F30" s="169">
        <v>5</v>
      </c>
      <c r="G30" s="170">
        <f t="shared" ref="G30:G39" si="0">$F$24/60*F30*(1-$L$28)*(1-$L$30)</f>
        <v>24.326114444444439</v>
      </c>
      <c r="H30" s="170">
        <f t="shared" ref="H30:H39" si="1">$F$25/60*F30*(1-$L$28)*(1-$L$30)</f>
        <v>9.8444444444444414</v>
      </c>
      <c r="I30" s="170">
        <f t="shared" ref="I30:I39" si="2">$F$22/60*F30*(1-$L$28)*(1-$L$30)</f>
        <v>9.8444444444444432E-2</v>
      </c>
      <c r="J30" s="171">
        <f t="shared" ref="J30:J39" si="3">$F$23/60*F30*(1-$L$28)*(1-$L$30)</f>
        <v>3.8009596888888886E-2</v>
      </c>
      <c r="K30" s="176" t="s">
        <v>188</v>
      </c>
      <c r="L30" s="177">
        <f>J51*M30</f>
        <v>0.17962962962962961</v>
      </c>
      <c r="M30">
        <v>1</v>
      </c>
    </row>
    <row r="31" spans="1:13" x14ac:dyDescent="0.25">
      <c r="A31" s="15" t="s">
        <v>45</v>
      </c>
      <c r="B31" s="7">
        <f>$B$41</f>
        <v>1.5625</v>
      </c>
      <c r="C31" s="6" t="s">
        <v>58</v>
      </c>
      <c r="D31" s="13" t="s">
        <v>24</v>
      </c>
      <c r="F31" s="164">
        <v>10</v>
      </c>
      <c r="G31" s="161">
        <f t="shared" si="0"/>
        <v>48.652228888888878</v>
      </c>
      <c r="H31" s="161">
        <f t="shared" si="1"/>
        <v>19.688888888888883</v>
      </c>
      <c r="I31" s="161">
        <f t="shared" si="2"/>
        <v>0.19688888888888886</v>
      </c>
      <c r="J31" s="165">
        <f t="shared" si="3"/>
        <v>7.6019193777777772E-2</v>
      </c>
    </row>
    <row r="32" spans="1:13" x14ac:dyDescent="0.25">
      <c r="A32" s="15" t="s">
        <v>78</v>
      </c>
      <c r="B32" s="7">
        <f>2*($B$3*TAN((B18/2)/1000))*100</f>
        <v>12.160002341205875</v>
      </c>
      <c r="C32" s="6" t="s">
        <v>58</v>
      </c>
      <c r="D32" s="13" t="s">
        <v>81</v>
      </c>
      <c r="F32" s="164">
        <v>15</v>
      </c>
      <c r="G32" s="161">
        <f t="shared" si="0"/>
        <v>72.978343333333314</v>
      </c>
      <c r="H32" s="161">
        <f t="shared" si="1"/>
        <v>29.533333333333328</v>
      </c>
      <c r="I32" s="161">
        <f t="shared" si="2"/>
        <v>0.29533333333333328</v>
      </c>
      <c r="J32" s="165">
        <f t="shared" si="3"/>
        <v>0.11402879066666664</v>
      </c>
    </row>
    <row r="33" spans="1:10" ht="15.75" customHeight="1" thickBot="1" x14ac:dyDescent="0.3">
      <c r="A33" s="23" t="s">
        <v>79</v>
      </c>
      <c r="B33" s="7">
        <f>2*($B$3*TAN((B19/2)/1000))*100</f>
        <v>18.320008005996865</v>
      </c>
      <c r="C33" s="69" t="s">
        <v>58</v>
      </c>
      <c r="D33" s="21" t="s">
        <v>82</v>
      </c>
      <c r="F33" s="164">
        <v>20</v>
      </c>
      <c r="G33" s="161">
        <f t="shared" si="0"/>
        <v>97.304457777777756</v>
      </c>
      <c r="H33" s="161">
        <f t="shared" si="1"/>
        <v>39.377777777777766</v>
      </c>
      <c r="I33" s="161">
        <f t="shared" si="2"/>
        <v>0.39377777777777773</v>
      </c>
      <c r="J33" s="165">
        <f t="shared" si="3"/>
        <v>0.15203838755555554</v>
      </c>
    </row>
    <row r="34" spans="1:10" ht="14.25" customHeight="1" thickBot="1" x14ac:dyDescent="0.3">
      <c r="A34" s="240" t="s">
        <v>20</v>
      </c>
      <c r="B34" s="241"/>
      <c r="C34" s="241"/>
      <c r="D34" s="242"/>
      <c r="F34" s="164">
        <v>25</v>
      </c>
      <c r="G34" s="161">
        <f t="shared" si="0"/>
        <v>121.63057222222221</v>
      </c>
      <c r="H34" s="161">
        <f t="shared" si="1"/>
        <v>49.222222222222214</v>
      </c>
      <c r="I34" s="161">
        <f t="shared" si="2"/>
        <v>0.49222222222222223</v>
      </c>
      <c r="J34" s="165">
        <f t="shared" si="3"/>
        <v>0.19004798444444443</v>
      </c>
    </row>
    <row r="35" spans="1:10" ht="15" customHeight="1" x14ac:dyDescent="0.25">
      <c r="A35" s="15" t="s">
        <v>11</v>
      </c>
      <c r="B35" s="7">
        <f>$B$16/$B$20</f>
        <v>20</v>
      </c>
      <c r="C35" s="6" t="s">
        <v>30</v>
      </c>
      <c r="D35" s="13" t="s">
        <v>25</v>
      </c>
      <c r="F35" s="164">
        <v>30</v>
      </c>
      <c r="G35" s="161">
        <f t="shared" si="0"/>
        <v>145.95668666666663</v>
      </c>
      <c r="H35" s="161">
        <f t="shared" si="1"/>
        <v>59.066666666666656</v>
      </c>
      <c r="I35" s="161">
        <f t="shared" si="2"/>
        <v>0.59066666666666656</v>
      </c>
      <c r="J35" s="165">
        <f t="shared" si="3"/>
        <v>0.22805758133333329</v>
      </c>
    </row>
    <row r="36" spans="1:10" ht="14.25" customHeight="1" thickBot="1" x14ac:dyDescent="0.3">
      <c r="A36" s="15" t="s">
        <v>12</v>
      </c>
      <c r="B36" s="7">
        <f>$B$24/360*$B$35</f>
        <v>5</v>
      </c>
      <c r="C36" s="6" t="s">
        <v>30</v>
      </c>
      <c r="D36" s="13" t="s">
        <v>15</v>
      </c>
      <c r="F36" s="173">
        <v>45</v>
      </c>
      <c r="G36" s="174">
        <f>$F$24/60*F36*(1-$L$28)*(1-$L$30)</f>
        <v>218.93502999999995</v>
      </c>
      <c r="H36" s="174">
        <f t="shared" si="1"/>
        <v>88.59999999999998</v>
      </c>
      <c r="I36" s="174">
        <f>$F$22/60*F36*(1-$L$28)*(1-$L$30)</f>
        <v>0.8859999999999999</v>
      </c>
      <c r="J36" s="175">
        <f t="shared" si="3"/>
        <v>0.34208637199999997</v>
      </c>
    </row>
    <row r="37" spans="1:10" ht="14.25" customHeight="1" thickBot="1" x14ac:dyDescent="0.3">
      <c r="A37" s="15" t="s">
        <v>21</v>
      </c>
      <c r="B37" s="7">
        <f>$B$36*1000/$B$28</f>
        <v>6.2500000000000009</v>
      </c>
      <c r="C37" s="8" t="s">
        <v>54</v>
      </c>
      <c r="D37" s="13" t="s">
        <v>22</v>
      </c>
      <c r="F37" s="178">
        <v>60</v>
      </c>
      <c r="G37" s="179">
        <f t="shared" si="0"/>
        <v>291.91337333333325</v>
      </c>
      <c r="H37" s="179">
        <f t="shared" si="1"/>
        <v>118.13333333333331</v>
      </c>
      <c r="I37" s="179">
        <f t="shared" si="2"/>
        <v>1.1813333333333331</v>
      </c>
      <c r="J37" s="180">
        <f t="shared" si="3"/>
        <v>0.45611516266666657</v>
      </c>
    </row>
    <row r="38" spans="1:10" ht="14.25" customHeight="1" x14ac:dyDescent="0.25">
      <c r="A38" s="15" t="s">
        <v>56</v>
      </c>
      <c r="B38" s="32">
        <f>(360*$B$17)/($B$35*1000)</f>
        <v>0.18</v>
      </c>
      <c r="C38" s="8" t="s">
        <v>57</v>
      </c>
      <c r="D38" s="13" t="s">
        <v>55</v>
      </c>
      <c r="F38" s="169">
        <v>75</v>
      </c>
      <c r="G38" s="170">
        <f t="shared" si="0"/>
        <v>364.89171666666658</v>
      </c>
      <c r="H38" s="170">
        <f t="shared" si="1"/>
        <v>147.66666666666666</v>
      </c>
      <c r="I38" s="170">
        <f t="shared" si="2"/>
        <v>1.4766666666666666</v>
      </c>
      <c r="J38" s="171">
        <f t="shared" si="3"/>
        <v>0.57014395333333334</v>
      </c>
    </row>
    <row r="39" spans="1:10" ht="15.75" thickBot="1" x14ac:dyDescent="0.3">
      <c r="A39" s="15" t="s">
        <v>13</v>
      </c>
      <c r="B39" s="7">
        <f>$B$22*TAN(($B$38)*PI()/180)*100</f>
        <v>25.132823912449247</v>
      </c>
      <c r="C39" s="9" t="s">
        <v>58</v>
      </c>
      <c r="D39" s="33" t="s">
        <v>59</v>
      </c>
      <c r="F39" s="166">
        <v>90</v>
      </c>
      <c r="G39" s="167">
        <f t="shared" si="0"/>
        <v>437.87005999999991</v>
      </c>
      <c r="H39" s="167">
        <f t="shared" si="1"/>
        <v>177.19999999999996</v>
      </c>
      <c r="I39" s="167">
        <f t="shared" si="2"/>
        <v>1.7719999999999998</v>
      </c>
      <c r="J39" s="168">
        <f t="shared" si="3"/>
        <v>0.68417274399999994</v>
      </c>
    </row>
    <row r="40" spans="1:10" ht="15.75" thickBot="1" x14ac:dyDescent="0.3">
      <c r="A40" s="15" t="s">
        <v>14</v>
      </c>
      <c r="B40" s="7">
        <f>$B$23/$B$17*100</f>
        <v>50</v>
      </c>
      <c r="C40" s="9" t="s">
        <v>58</v>
      </c>
      <c r="D40" s="13" t="s">
        <v>5</v>
      </c>
    </row>
    <row r="41" spans="1:10" ht="15.75" thickBot="1" x14ac:dyDescent="0.3">
      <c r="A41" s="15" t="s">
        <v>9</v>
      </c>
      <c r="B41" s="7">
        <f>$B$23/$B$17/$B$20*100</f>
        <v>1.5625</v>
      </c>
      <c r="C41" s="9" t="s">
        <v>58</v>
      </c>
      <c r="D41" s="13" t="s">
        <v>17</v>
      </c>
      <c r="F41" s="243" t="s">
        <v>190</v>
      </c>
      <c r="G41" s="244"/>
      <c r="H41" s="244"/>
      <c r="I41" s="244"/>
      <c r="J41" s="245"/>
    </row>
    <row r="42" spans="1:10" x14ac:dyDescent="0.25">
      <c r="A42" s="17" t="s">
        <v>16</v>
      </c>
      <c r="B42" s="10">
        <f>2*$B$22*TAN((1/2)*PI()/180)</f>
        <v>1.3962988465214063</v>
      </c>
      <c r="C42" s="8" t="s">
        <v>33</v>
      </c>
      <c r="D42" s="13" t="s">
        <v>194</v>
      </c>
      <c r="F42" s="246" t="s">
        <v>182</v>
      </c>
      <c r="G42" s="247"/>
      <c r="H42" s="247"/>
      <c r="I42" s="247"/>
      <c r="J42" s="181">
        <v>18</v>
      </c>
    </row>
    <row r="43" spans="1:10" x14ac:dyDescent="0.25">
      <c r="A43" s="17" t="s">
        <v>18</v>
      </c>
      <c r="B43" s="11">
        <f>$B$42/($B$40/100)</f>
        <v>2.7925976930428127</v>
      </c>
      <c r="C43" s="9" t="s">
        <v>47</v>
      </c>
      <c r="D43" s="13" t="s">
        <v>26</v>
      </c>
      <c r="F43" s="236" t="s">
        <v>177</v>
      </c>
      <c r="G43" s="237"/>
      <c r="H43" s="237"/>
      <c r="I43" s="237"/>
      <c r="J43" s="182">
        <v>10</v>
      </c>
    </row>
    <row r="44" spans="1:10" ht="15" customHeight="1" thickBot="1" x14ac:dyDescent="0.3">
      <c r="A44" s="18" t="s">
        <v>19</v>
      </c>
      <c r="B44" s="19">
        <f>B43/B17</f>
        <v>0.27925976930428126</v>
      </c>
      <c r="C44" s="20" t="s">
        <v>46</v>
      </c>
      <c r="D44" s="21" t="s">
        <v>27</v>
      </c>
      <c r="F44" s="236" t="s">
        <v>183</v>
      </c>
      <c r="G44" s="237"/>
      <c r="H44" s="237"/>
      <c r="I44" s="237"/>
      <c r="J44" s="182">
        <v>15</v>
      </c>
    </row>
    <row r="45" spans="1:10" ht="15" customHeight="1" x14ac:dyDescent="0.25">
      <c r="F45" s="236" t="s">
        <v>184</v>
      </c>
      <c r="G45" s="237"/>
      <c r="H45" s="237"/>
      <c r="I45" s="237"/>
      <c r="J45" s="182">
        <v>10</v>
      </c>
    </row>
    <row r="46" spans="1:10" x14ac:dyDescent="0.25">
      <c r="F46" s="236" t="s">
        <v>185</v>
      </c>
      <c r="G46" s="237"/>
      <c r="H46" s="237"/>
      <c r="I46" s="237"/>
      <c r="J46" s="182">
        <v>10</v>
      </c>
    </row>
    <row r="47" spans="1:10" x14ac:dyDescent="0.25">
      <c r="F47" s="236" t="s">
        <v>186</v>
      </c>
      <c r="G47" s="237"/>
      <c r="H47" s="237"/>
      <c r="I47" s="237"/>
      <c r="J47" s="182">
        <v>15</v>
      </c>
    </row>
    <row r="48" spans="1:10" x14ac:dyDescent="0.25">
      <c r="F48" s="238" t="s">
        <v>176</v>
      </c>
      <c r="G48" s="239"/>
      <c r="H48" s="239"/>
      <c r="I48" s="239"/>
      <c r="J48" s="183">
        <f>B8/B4</f>
        <v>15.999999999999996</v>
      </c>
    </row>
    <row r="49" spans="6:12" x14ac:dyDescent="0.25">
      <c r="F49" s="238" t="s">
        <v>178</v>
      </c>
      <c r="G49" s="239"/>
      <c r="H49" s="239"/>
      <c r="I49" s="239"/>
      <c r="J49" s="183">
        <f>J48*(J43-1)</f>
        <v>143.99999999999997</v>
      </c>
    </row>
    <row r="50" spans="6:12" x14ac:dyDescent="0.25">
      <c r="F50" s="238" t="s">
        <v>179</v>
      </c>
      <c r="G50" s="239"/>
      <c r="H50" s="239"/>
      <c r="I50" s="239"/>
      <c r="J50" s="183">
        <f>J44+J45+J46+J47+J49</f>
        <v>193.99999999999997</v>
      </c>
    </row>
    <row r="51" spans="6:12" x14ac:dyDescent="0.25">
      <c r="F51" s="238" t="s">
        <v>180</v>
      </c>
      <c r="G51" s="239"/>
      <c r="H51" s="239"/>
      <c r="I51" s="239"/>
      <c r="J51" s="184">
        <f>J50/(J42*60)</f>
        <v>0.17962962962962961</v>
      </c>
    </row>
    <row r="52" spans="6:12" ht="15.75" thickBot="1" x14ac:dyDescent="0.3">
      <c r="F52" s="234" t="s">
        <v>181</v>
      </c>
      <c r="G52" s="235"/>
      <c r="H52" s="235"/>
      <c r="I52" s="235"/>
      <c r="J52" s="185">
        <f>1-J51</f>
        <v>0.82037037037037042</v>
      </c>
    </row>
    <row r="55" spans="6:12" x14ac:dyDescent="0.25">
      <c r="F55" t="s">
        <v>197</v>
      </c>
      <c r="J55" s="94">
        <v>5000</v>
      </c>
    </row>
    <row r="56" spans="6:12" x14ac:dyDescent="0.25">
      <c r="F56" t="s">
        <v>198</v>
      </c>
      <c r="J56" s="94">
        <v>2500</v>
      </c>
    </row>
    <row r="57" spans="6:12" x14ac:dyDescent="0.25">
      <c r="F57" t="s">
        <v>199</v>
      </c>
      <c r="J57" s="195">
        <f>B8</f>
        <v>79.999999999999986</v>
      </c>
    </row>
    <row r="58" spans="6:12" x14ac:dyDescent="0.25">
      <c r="F58" t="s">
        <v>229</v>
      </c>
      <c r="J58" s="195">
        <f>J55/J57</f>
        <v>62.500000000000014</v>
      </c>
    </row>
    <row r="59" spans="6:12" x14ac:dyDescent="0.25">
      <c r="F59" t="s">
        <v>230</v>
      </c>
      <c r="J59" s="195">
        <f>J56/J57</f>
        <v>31.250000000000007</v>
      </c>
    </row>
    <row r="60" spans="6:12" x14ac:dyDescent="0.25">
      <c r="F60" t="s">
        <v>200</v>
      </c>
      <c r="J60">
        <f>J55/B4</f>
        <v>1000</v>
      </c>
      <c r="K60" s="195">
        <f>J60/60</f>
        <v>16.666666666666668</v>
      </c>
    </row>
    <row r="61" spans="6:12" x14ac:dyDescent="0.25">
      <c r="F61" t="s">
        <v>201</v>
      </c>
      <c r="J61">
        <f>J56/B4</f>
        <v>500</v>
      </c>
      <c r="K61" s="195">
        <f>J61/60</f>
        <v>8.3333333333333339</v>
      </c>
    </row>
    <row r="62" spans="6:12" x14ac:dyDescent="0.25">
      <c r="F62" t="s">
        <v>207</v>
      </c>
      <c r="J62" s="195">
        <f>J60*J58</f>
        <v>62500.000000000015</v>
      </c>
      <c r="K62" s="195">
        <f>J62/60</f>
        <v>1041.666666666667</v>
      </c>
      <c r="L62" s="195">
        <f>K62/60</f>
        <v>17.361111111111118</v>
      </c>
    </row>
    <row r="63" spans="6:12" x14ac:dyDescent="0.25">
      <c r="F63" t="s">
        <v>208</v>
      </c>
      <c r="J63" s="195">
        <f>J61*J59</f>
        <v>15625.000000000004</v>
      </c>
      <c r="K63" s="195">
        <f>J63/60</f>
        <v>260.41666666666674</v>
      </c>
      <c r="L63" s="195">
        <f>K63/60</f>
        <v>4.3402777777777795</v>
      </c>
    </row>
    <row r="65" spans="6:12" x14ac:dyDescent="0.25">
      <c r="F65" t="s">
        <v>202</v>
      </c>
      <c r="J65" s="195">
        <f>J57/B4</f>
        <v>15.999999999999996</v>
      </c>
    </row>
    <row r="66" spans="6:12" x14ac:dyDescent="0.25">
      <c r="F66" t="s">
        <v>203</v>
      </c>
      <c r="J66" s="196">
        <f>J58-1</f>
        <v>61.500000000000014</v>
      </c>
    </row>
    <row r="67" spans="6:12" x14ac:dyDescent="0.25">
      <c r="F67" t="s">
        <v>204</v>
      </c>
      <c r="J67" s="196">
        <f>J59-1</f>
        <v>30.250000000000007</v>
      </c>
    </row>
    <row r="68" spans="6:12" x14ac:dyDescent="0.25">
      <c r="F68" t="s">
        <v>205</v>
      </c>
      <c r="J68" s="195">
        <f>J65*J66</f>
        <v>984</v>
      </c>
      <c r="K68" s="195">
        <f>J68/60</f>
        <v>16.399999999999999</v>
      </c>
      <c r="L68" s="195">
        <f>K68/60</f>
        <v>0.27333333333333332</v>
      </c>
    </row>
    <row r="69" spans="6:12" x14ac:dyDescent="0.25">
      <c r="F69" t="s">
        <v>206</v>
      </c>
      <c r="J69" s="195">
        <f>J65*J67</f>
        <v>484</v>
      </c>
      <c r="K69" s="195">
        <f>J69/60</f>
        <v>8.0666666666666664</v>
      </c>
      <c r="L69" s="195">
        <f>K69/60</f>
        <v>0.13444444444444445</v>
      </c>
    </row>
    <row r="71" spans="6:12" x14ac:dyDescent="0.25">
      <c r="F71" t="s">
        <v>209</v>
      </c>
      <c r="J71" s="94">
        <v>20</v>
      </c>
    </row>
    <row r="72" spans="6:12" x14ac:dyDescent="0.25">
      <c r="F72" t="s">
        <v>210</v>
      </c>
      <c r="J72" s="94">
        <v>500</v>
      </c>
    </row>
    <row r="73" spans="6:12" x14ac:dyDescent="0.25">
      <c r="F73" t="s">
        <v>211</v>
      </c>
      <c r="J73">
        <f>J55/J72</f>
        <v>10</v>
      </c>
    </row>
    <row r="74" spans="6:12" x14ac:dyDescent="0.25">
      <c r="F74" t="s">
        <v>212</v>
      </c>
      <c r="J74" s="195">
        <f>J73*J58</f>
        <v>625.00000000000011</v>
      </c>
    </row>
    <row r="75" spans="6:12" x14ac:dyDescent="0.25">
      <c r="F75" t="s">
        <v>215</v>
      </c>
      <c r="J75">
        <f>J56/J72</f>
        <v>5</v>
      </c>
    </row>
    <row r="76" spans="6:12" x14ac:dyDescent="0.25">
      <c r="F76" t="s">
        <v>216</v>
      </c>
      <c r="J76" s="195">
        <f>J75*J59</f>
        <v>156.25000000000003</v>
      </c>
    </row>
    <row r="77" spans="6:12" x14ac:dyDescent="0.25">
      <c r="F77" t="s">
        <v>213</v>
      </c>
      <c r="J77" s="195">
        <f>J74*J71</f>
        <v>12500.000000000002</v>
      </c>
      <c r="K77" s="195">
        <f>J77/60</f>
        <v>208.33333333333337</v>
      </c>
      <c r="L77" s="195">
        <f>K77/60</f>
        <v>3.4722222222222228</v>
      </c>
    </row>
    <row r="78" spans="6:12" x14ac:dyDescent="0.25">
      <c r="F78" t="s">
        <v>214</v>
      </c>
      <c r="J78" s="195">
        <f>J76*J71</f>
        <v>3125.0000000000005</v>
      </c>
      <c r="K78" s="195">
        <f>J78/60</f>
        <v>52.083333333333343</v>
      </c>
      <c r="L78" s="195">
        <f>K78/60</f>
        <v>0.86805555555555569</v>
      </c>
    </row>
    <row r="80" spans="6:12" x14ac:dyDescent="0.25">
      <c r="F80" t="s">
        <v>217</v>
      </c>
      <c r="J80" s="195">
        <f>J62+J68+J77</f>
        <v>75984.000000000015</v>
      </c>
      <c r="K80" s="195">
        <f>J80/60</f>
        <v>1266.4000000000003</v>
      </c>
      <c r="L80" s="195">
        <f>K80/60</f>
        <v>21.106666666666673</v>
      </c>
    </row>
    <row r="81" spans="6:12" x14ac:dyDescent="0.25">
      <c r="F81" t="s">
        <v>218</v>
      </c>
      <c r="J81" s="195">
        <f>J63+J69+J78</f>
        <v>19234.000000000004</v>
      </c>
      <c r="K81" s="195">
        <f>J81/60</f>
        <v>320.56666666666672</v>
      </c>
      <c r="L81" s="195">
        <f>K81/60</f>
        <v>5.342777777777779</v>
      </c>
    </row>
    <row r="83" spans="6:12" x14ac:dyDescent="0.25">
      <c r="F83" t="s">
        <v>219</v>
      </c>
      <c r="J83" s="94">
        <v>20</v>
      </c>
    </row>
    <row r="84" spans="6:12" x14ac:dyDescent="0.25">
      <c r="F84" t="s">
        <v>220</v>
      </c>
      <c r="J84">
        <f>J83/K60</f>
        <v>1.2</v>
      </c>
    </row>
    <row r="85" spans="6:12" x14ac:dyDescent="0.25">
      <c r="F85" t="s">
        <v>221</v>
      </c>
      <c r="J85">
        <f>J83/K61</f>
        <v>2.4</v>
      </c>
    </row>
    <row r="86" spans="6:12" x14ac:dyDescent="0.25">
      <c r="F86" t="s">
        <v>222</v>
      </c>
      <c r="J86" s="195">
        <f>K80/J83</f>
        <v>63.320000000000014</v>
      </c>
    </row>
    <row r="87" spans="6:12" x14ac:dyDescent="0.25">
      <c r="F87" t="s">
        <v>223</v>
      </c>
      <c r="J87" s="195">
        <f>K81/J83</f>
        <v>16.028333333333336</v>
      </c>
    </row>
    <row r="88" spans="6:12" x14ac:dyDescent="0.25">
      <c r="F88" t="s">
        <v>224</v>
      </c>
      <c r="J88" s="195">
        <f>J58/J84</f>
        <v>52.08333333333335</v>
      </c>
    </row>
    <row r="89" spans="6:12" x14ac:dyDescent="0.25">
      <c r="F89" t="s">
        <v>225</v>
      </c>
      <c r="J89" s="195">
        <f>J59/J85</f>
        <v>13.020833333333337</v>
      </c>
    </row>
    <row r="91" spans="6:12" x14ac:dyDescent="0.25">
      <c r="F91" t="s">
        <v>228</v>
      </c>
      <c r="J91" s="94">
        <v>2500</v>
      </c>
    </row>
    <row r="92" spans="6:12" x14ac:dyDescent="0.25">
      <c r="F92" t="s">
        <v>226</v>
      </c>
      <c r="J92">
        <f>J55/J91</f>
        <v>2</v>
      </c>
    </row>
    <row r="93" spans="6:12" x14ac:dyDescent="0.25">
      <c r="F93" t="s">
        <v>227</v>
      </c>
      <c r="J93">
        <f>J56/J91</f>
        <v>1</v>
      </c>
    </row>
  </sheetData>
  <mergeCells count="25">
    <mergeCell ref="K27:L27"/>
    <mergeCell ref="K29:L29"/>
    <mergeCell ref="A1:D1"/>
    <mergeCell ref="F18:H18"/>
    <mergeCell ref="G19:H19"/>
    <mergeCell ref="G20:H20"/>
    <mergeCell ref="G21:H21"/>
    <mergeCell ref="G22:H22"/>
    <mergeCell ref="F45:I45"/>
    <mergeCell ref="G23:H23"/>
    <mergeCell ref="G24:H24"/>
    <mergeCell ref="G25:H25"/>
    <mergeCell ref="F27:J27"/>
    <mergeCell ref="A34:D34"/>
    <mergeCell ref="F41:J41"/>
    <mergeCell ref="F42:I42"/>
    <mergeCell ref="F43:I43"/>
    <mergeCell ref="F44:I44"/>
    <mergeCell ref="F52:I52"/>
    <mergeCell ref="F46:I46"/>
    <mergeCell ref="F47:I47"/>
    <mergeCell ref="F48:I48"/>
    <mergeCell ref="F49:I49"/>
    <mergeCell ref="F50:I50"/>
    <mergeCell ref="F51:I51"/>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17</vt:i4>
      </vt:variant>
    </vt:vector>
  </HeadingPairs>
  <TitlesOfParts>
    <vt:vector size="17" baseType="lpstr">
      <vt:lpstr>Line Spacing</vt:lpstr>
      <vt:lpstr>GSD</vt:lpstr>
      <vt:lpstr>mdLiDAR_UHR</vt:lpstr>
      <vt:lpstr>mdLiDAR_UHR Lite</vt:lpstr>
      <vt:lpstr>mdLiDAR_3Cam-3Cam+</vt:lpstr>
      <vt:lpstr>TrueView 410</vt:lpstr>
      <vt:lpstr>TrueView 435</vt:lpstr>
      <vt:lpstr>TrueView 515</vt:lpstr>
      <vt:lpstr>TrueView 535</vt:lpstr>
      <vt:lpstr>TrueView 1</vt:lpstr>
      <vt:lpstr>TrueView 540</vt:lpstr>
      <vt:lpstr>TrueView 660</vt:lpstr>
      <vt:lpstr>TrueView 680</vt:lpstr>
      <vt:lpstr>TrueView 720</vt:lpstr>
      <vt:lpstr>Spot Size</vt:lpstr>
      <vt:lpstr>Vertical Surface</vt:lpstr>
      <vt:lpstr>Useful Conversions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Martin Flood</dc:creator>
  <cp:lastModifiedBy>Jaume Cazorla</cp:lastModifiedBy>
  <dcterms:created xsi:type="dcterms:W3CDTF">2019-12-20T16:18:22Z</dcterms:created>
  <dcterms:modified xsi:type="dcterms:W3CDTF">2025-05-29T14:46:43Z</dcterms:modified>
</cp:coreProperties>
</file>